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tables/table133.xml" ContentType="application/vnd.openxmlformats-officedocument.spreadsheetml.table+xml"/>
  <Override PartName="/xl/tables/table134.xml" ContentType="application/vnd.openxmlformats-officedocument.spreadsheetml.table+xml"/>
  <Override PartName="/xl/tables/table135.xml" ContentType="application/vnd.openxmlformats-officedocument.spreadsheetml.table+xml"/>
  <Override PartName="/xl/tables/table136.xml" ContentType="application/vnd.openxmlformats-officedocument.spreadsheetml.table+xml"/>
  <Override PartName="/xl/tables/table137.xml" ContentType="application/vnd.openxmlformats-officedocument.spreadsheetml.table+xml"/>
  <Override PartName="/xl/tables/table138.xml" ContentType="application/vnd.openxmlformats-officedocument.spreadsheetml.table+xml"/>
  <Override PartName="/xl/tables/table139.xml" ContentType="application/vnd.openxmlformats-officedocument.spreadsheetml.table+xml"/>
  <Override PartName="/xl/tables/table140.xml" ContentType="application/vnd.openxmlformats-officedocument.spreadsheetml.table+xml"/>
  <Override PartName="/xl/tables/table141.xml" ContentType="application/vnd.openxmlformats-officedocument.spreadsheetml.table+xml"/>
  <Override PartName="/xl/tables/table142.xml" ContentType="application/vnd.openxmlformats-officedocument.spreadsheetml.table+xml"/>
  <Override PartName="/xl/tables/table143.xml" ContentType="application/vnd.openxmlformats-officedocument.spreadsheetml.table+xml"/>
  <Override PartName="/xl/tables/table144.xml" ContentType="application/vnd.openxmlformats-officedocument.spreadsheetml.table+xml"/>
  <Override PartName="/xl/tables/table145.xml" ContentType="application/vnd.openxmlformats-officedocument.spreadsheetml.table+xml"/>
  <Override PartName="/xl/tables/table146.xml" ContentType="application/vnd.openxmlformats-officedocument.spreadsheetml.table+xml"/>
  <Override PartName="/xl/tables/table147.xml" ContentType="application/vnd.openxmlformats-officedocument.spreadsheetml.table+xml"/>
  <Override PartName="/xl/tables/table148.xml" ContentType="application/vnd.openxmlformats-officedocument.spreadsheetml.table+xml"/>
  <Override PartName="/xl/tables/table149.xml" ContentType="application/vnd.openxmlformats-officedocument.spreadsheetml.table+xml"/>
  <Override PartName="/xl/tables/table150.xml" ContentType="application/vnd.openxmlformats-officedocument.spreadsheetml.table+xml"/>
  <Override PartName="/xl/tables/table151.xml" ContentType="application/vnd.openxmlformats-officedocument.spreadsheetml.table+xml"/>
  <Override PartName="/xl/tables/table152.xml" ContentType="application/vnd.openxmlformats-officedocument.spreadsheetml.table+xml"/>
  <Override PartName="/xl/tables/table153.xml" ContentType="application/vnd.openxmlformats-officedocument.spreadsheetml.table+xml"/>
  <Override PartName="/xl/tables/table154.xml" ContentType="application/vnd.openxmlformats-officedocument.spreadsheetml.table+xml"/>
  <Override PartName="/xl/tables/table155.xml" ContentType="application/vnd.openxmlformats-officedocument.spreadsheetml.table+xml"/>
  <Override PartName="/xl/tables/table156.xml" ContentType="application/vnd.openxmlformats-officedocument.spreadsheetml.table+xml"/>
  <Override PartName="/xl/tables/table157.xml" ContentType="application/vnd.openxmlformats-officedocument.spreadsheetml.table+xml"/>
  <Override PartName="/xl/tables/table158.xml" ContentType="application/vnd.openxmlformats-officedocument.spreadsheetml.table+xml"/>
  <Override PartName="/xl/tables/table159.xml" ContentType="application/vnd.openxmlformats-officedocument.spreadsheetml.table+xml"/>
  <Override PartName="/xl/tables/table160.xml" ContentType="application/vnd.openxmlformats-officedocument.spreadsheetml.table+xml"/>
  <Override PartName="/xl/tables/table161.xml" ContentType="application/vnd.openxmlformats-officedocument.spreadsheetml.table+xml"/>
  <Override PartName="/xl/tables/table162.xml" ContentType="application/vnd.openxmlformats-officedocument.spreadsheetml.table+xml"/>
  <Override PartName="/xl/tables/table163.xml" ContentType="application/vnd.openxmlformats-officedocument.spreadsheetml.table+xml"/>
  <Override PartName="/xl/tables/table164.xml" ContentType="application/vnd.openxmlformats-officedocument.spreadsheetml.table+xml"/>
  <Override PartName="/xl/tables/table165.xml" ContentType="application/vnd.openxmlformats-officedocument.spreadsheetml.table+xml"/>
  <Override PartName="/xl/tables/table166.xml" ContentType="application/vnd.openxmlformats-officedocument.spreadsheetml.table+xml"/>
  <Override PartName="/xl/tables/table167.xml" ContentType="application/vnd.openxmlformats-officedocument.spreadsheetml.table+xml"/>
  <Override PartName="/xl/tables/table168.xml" ContentType="application/vnd.openxmlformats-officedocument.spreadsheetml.table+xml"/>
  <Override PartName="/xl/tables/table169.xml" ContentType="application/vnd.openxmlformats-officedocument.spreadsheetml.table+xml"/>
  <Override PartName="/xl/tables/table170.xml" ContentType="application/vnd.openxmlformats-officedocument.spreadsheetml.table+xml"/>
  <Override PartName="/xl/tables/table171.xml" ContentType="application/vnd.openxmlformats-officedocument.spreadsheetml.table+xml"/>
  <Override PartName="/xl/tables/table172.xml" ContentType="application/vnd.openxmlformats-officedocument.spreadsheetml.table+xml"/>
  <Override PartName="/xl/tables/table173.xml" ContentType="application/vnd.openxmlformats-officedocument.spreadsheetml.table+xml"/>
  <Override PartName="/xl/tables/table174.xml" ContentType="application/vnd.openxmlformats-officedocument.spreadsheetml.table+xml"/>
  <Override PartName="/xl/tables/table175.xml" ContentType="application/vnd.openxmlformats-officedocument.spreadsheetml.table+xml"/>
  <Override PartName="/xl/tables/table176.xml" ContentType="application/vnd.openxmlformats-officedocument.spreadsheetml.table+xml"/>
  <Override PartName="/xl/tables/table177.xml" ContentType="application/vnd.openxmlformats-officedocument.spreadsheetml.table+xml"/>
  <Override PartName="/xl/tables/table178.xml" ContentType="application/vnd.openxmlformats-officedocument.spreadsheetml.table+xml"/>
  <Override PartName="/xl/tables/table179.xml" ContentType="application/vnd.openxmlformats-officedocument.spreadsheetml.table+xml"/>
  <Override PartName="/xl/tables/table180.xml" ContentType="application/vnd.openxmlformats-officedocument.spreadsheetml.table+xml"/>
  <Override PartName="/xl/tables/table181.xml" ContentType="application/vnd.openxmlformats-officedocument.spreadsheetml.table+xml"/>
  <Override PartName="/xl/tables/table182.xml" ContentType="application/vnd.openxmlformats-officedocument.spreadsheetml.table+xml"/>
  <Override PartName="/xl/tables/table183.xml" ContentType="application/vnd.openxmlformats-officedocument.spreadsheetml.table+xml"/>
  <Override PartName="/xl/tables/table184.xml" ContentType="application/vnd.openxmlformats-officedocument.spreadsheetml.table+xml"/>
  <Override PartName="/xl/tables/table185.xml" ContentType="application/vnd.openxmlformats-officedocument.spreadsheetml.table+xml"/>
  <Override PartName="/xl/tables/table186.xml" ContentType="application/vnd.openxmlformats-officedocument.spreadsheetml.table+xml"/>
  <Override PartName="/xl/tables/table187.xml" ContentType="application/vnd.openxmlformats-officedocument.spreadsheetml.table+xml"/>
  <Override PartName="/xl/tables/table188.xml" ContentType="application/vnd.openxmlformats-officedocument.spreadsheetml.table+xml"/>
  <Override PartName="/xl/tables/table189.xml" ContentType="application/vnd.openxmlformats-officedocument.spreadsheetml.table+xml"/>
  <Override PartName="/xl/tables/table190.xml" ContentType="application/vnd.openxmlformats-officedocument.spreadsheetml.table+xml"/>
  <Override PartName="/xl/tables/table191.xml" ContentType="application/vnd.openxmlformats-officedocument.spreadsheetml.table+xml"/>
  <Override PartName="/xl/tables/table192.xml" ContentType="application/vnd.openxmlformats-officedocument.spreadsheetml.table+xml"/>
  <Override PartName="/xl/tables/table193.xml" ContentType="application/vnd.openxmlformats-officedocument.spreadsheetml.table+xml"/>
  <Override PartName="/xl/tables/table194.xml" ContentType="application/vnd.openxmlformats-officedocument.spreadsheetml.table+xml"/>
  <Override PartName="/xl/tables/table195.xml" ContentType="application/vnd.openxmlformats-officedocument.spreadsheetml.table+xml"/>
  <Override PartName="/xl/tables/table196.xml" ContentType="application/vnd.openxmlformats-officedocument.spreadsheetml.table+xml"/>
  <Override PartName="/xl/tables/table197.xml" ContentType="application/vnd.openxmlformats-officedocument.spreadsheetml.table+xml"/>
  <Override PartName="/xl/tables/table198.xml" ContentType="application/vnd.openxmlformats-officedocument.spreadsheetml.table+xml"/>
  <Override PartName="/xl/tables/table199.xml" ContentType="application/vnd.openxmlformats-officedocument.spreadsheetml.table+xml"/>
  <Override PartName="/xl/tables/table200.xml" ContentType="application/vnd.openxmlformats-officedocument.spreadsheetml.table+xml"/>
  <Override PartName="/xl/tables/table201.xml" ContentType="application/vnd.openxmlformats-officedocument.spreadsheetml.table+xml"/>
  <Override PartName="/xl/tables/table202.xml" ContentType="application/vnd.openxmlformats-officedocument.spreadsheetml.table+xml"/>
  <Override PartName="/xl/tables/table203.xml" ContentType="application/vnd.openxmlformats-officedocument.spreadsheetml.table+xml"/>
  <Override PartName="/xl/tables/table204.xml" ContentType="application/vnd.openxmlformats-officedocument.spreadsheetml.table+xml"/>
  <Override PartName="/xl/tables/table205.xml" ContentType="application/vnd.openxmlformats-officedocument.spreadsheetml.table+xml"/>
  <Override PartName="/xl/tables/table206.xml" ContentType="application/vnd.openxmlformats-officedocument.spreadsheetml.table+xml"/>
  <Override PartName="/xl/tables/table207.xml" ContentType="application/vnd.openxmlformats-officedocument.spreadsheetml.table+xml"/>
  <Override PartName="/xl/tables/table208.xml" ContentType="application/vnd.openxmlformats-officedocument.spreadsheetml.table+xml"/>
  <Override PartName="/xl/tables/table209.xml" ContentType="application/vnd.openxmlformats-officedocument.spreadsheetml.table+xml"/>
  <Override PartName="/xl/tables/table210.xml" ContentType="application/vnd.openxmlformats-officedocument.spreadsheetml.table+xml"/>
  <Override PartName="/xl/tables/table211.xml" ContentType="application/vnd.openxmlformats-officedocument.spreadsheetml.table+xml"/>
  <Override PartName="/xl/tables/table212.xml" ContentType="application/vnd.openxmlformats-officedocument.spreadsheetml.table+xml"/>
  <Override PartName="/xl/tables/table213.xml" ContentType="application/vnd.openxmlformats-officedocument.spreadsheetml.table+xml"/>
  <Override PartName="/xl/tables/table214.xml" ContentType="application/vnd.openxmlformats-officedocument.spreadsheetml.table+xml"/>
  <Override PartName="/xl/tables/table215.xml" ContentType="application/vnd.openxmlformats-officedocument.spreadsheetml.table+xml"/>
  <Override PartName="/xl/tables/table216.xml" ContentType="application/vnd.openxmlformats-officedocument.spreadsheetml.table+xml"/>
  <Override PartName="/xl/tables/table217.xml" ContentType="application/vnd.openxmlformats-officedocument.spreadsheetml.table+xml"/>
  <Override PartName="/xl/tables/table218.xml" ContentType="application/vnd.openxmlformats-officedocument.spreadsheetml.table+xml"/>
  <Override PartName="/xl/tables/table219.xml" ContentType="application/vnd.openxmlformats-officedocument.spreadsheetml.table+xml"/>
  <Override PartName="/xl/tables/table220.xml" ContentType="application/vnd.openxmlformats-officedocument.spreadsheetml.table+xml"/>
  <Override PartName="/xl/tables/table221.xml" ContentType="application/vnd.openxmlformats-officedocument.spreadsheetml.table+xml"/>
  <Override PartName="/xl/tables/table222.xml" ContentType="application/vnd.openxmlformats-officedocument.spreadsheetml.table+xml"/>
  <Override PartName="/xl/tables/table223.xml" ContentType="application/vnd.openxmlformats-officedocument.spreadsheetml.table+xml"/>
  <Override PartName="/xl/tables/table224.xml" ContentType="application/vnd.openxmlformats-officedocument.spreadsheetml.table+xml"/>
  <Override PartName="/xl/tables/table22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ThisWorkbook" hidePivotFieldList="1"/>
  <xr:revisionPtr revIDLastSave="0" documentId="13_ncr:1_{E0668B58-7906-46E1-8B04-5790E1F2D046}" xr6:coauthVersionLast="47" xr6:coauthVersionMax="47" xr10:uidLastSave="{00000000-0000-0000-0000-000000000000}"/>
  <bookViews>
    <workbookView xWindow="792" yWindow="1284" windowWidth="17124" windowHeight="10680" xr2:uid="{00000000-000D-0000-FFFF-FFFF00000000}"/>
  </bookViews>
  <sheets>
    <sheet name="目次" sheetId="83" r:id="rId1"/>
    <sheet name="産業大分類" sheetId="5" r:id="rId2"/>
    <sheet name="産業中分類" sheetId="6" r:id="rId3"/>
    <sheet name="産業小分類" sheetId="7" r:id="rId4"/>
    <sheet name="大阪府" sheetId="8" r:id="rId5"/>
    <sheet name="大阪市" sheetId="9" r:id="rId6"/>
    <sheet name="大阪市都島区" sheetId="10" r:id="rId7"/>
    <sheet name="大阪市福島区" sheetId="11" r:id="rId8"/>
    <sheet name="大阪市此花区" sheetId="12" r:id="rId9"/>
    <sheet name="大阪市西区" sheetId="13" r:id="rId10"/>
    <sheet name="大阪市港区" sheetId="14" r:id="rId11"/>
    <sheet name="大阪市大正区" sheetId="15" r:id="rId12"/>
    <sheet name="大阪市天王寺区" sheetId="16" r:id="rId13"/>
    <sheet name="大阪市浪速区" sheetId="17" r:id="rId14"/>
    <sheet name="大阪市西淀川区" sheetId="18" r:id="rId15"/>
    <sheet name="大阪市東淀川区" sheetId="19" r:id="rId16"/>
    <sheet name="大阪市東成区" sheetId="20" r:id="rId17"/>
    <sheet name="大阪市生野区" sheetId="21" r:id="rId18"/>
    <sheet name="大阪市旭区" sheetId="22" r:id="rId19"/>
    <sheet name="大阪市城東区" sheetId="23" r:id="rId20"/>
    <sheet name="大阪市阿倍野区" sheetId="24" r:id="rId21"/>
    <sheet name="大阪市住吉区" sheetId="25" r:id="rId22"/>
    <sheet name="大阪市東住吉区" sheetId="26" r:id="rId23"/>
    <sheet name="大阪市西成区" sheetId="27" r:id="rId24"/>
    <sheet name="大阪市淀川区" sheetId="28" r:id="rId25"/>
    <sheet name="大阪市鶴見区" sheetId="29" r:id="rId26"/>
    <sheet name="大阪市住之江区" sheetId="30" r:id="rId27"/>
    <sheet name="大阪市平野区" sheetId="31" r:id="rId28"/>
    <sheet name="大阪市北区" sheetId="32" r:id="rId29"/>
    <sheet name="大阪市中央区" sheetId="33" r:id="rId30"/>
    <sheet name="堺市" sheetId="34" r:id="rId31"/>
    <sheet name="堺市堺区" sheetId="35" r:id="rId32"/>
    <sheet name="堺市中区" sheetId="36" r:id="rId33"/>
    <sheet name="堺市東区" sheetId="37" r:id="rId34"/>
    <sheet name="堺市西区" sheetId="38" r:id="rId35"/>
    <sheet name="堺市南区" sheetId="39" r:id="rId36"/>
    <sheet name="堺市北区" sheetId="40" r:id="rId37"/>
    <sheet name="堺市美原区" sheetId="41" r:id="rId38"/>
    <sheet name="岸和田市" sheetId="42" r:id="rId39"/>
    <sheet name="豊中市" sheetId="43" r:id="rId40"/>
    <sheet name="池田市" sheetId="44" r:id="rId41"/>
    <sheet name="吹田市" sheetId="45" r:id="rId42"/>
    <sheet name="泉大津市" sheetId="46" r:id="rId43"/>
    <sheet name="高槻市" sheetId="47" r:id="rId44"/>
    <sheet name="貝塚市" sheetId="48" r:id="rId45"/>
    <sheet name="守口市" sheetId="49" r:id="rId46"/>
    <sheet name="枚方市" sheetId="50" r:id="rId47"/>
    <sheet name="茨木市" sheetId="51" r:id="rId48"/>
    <sheet name="八尾市" sheetId="52" r:id="rId49"/>
    <sheet name="泉佐野市" sheetId="53" r:id="rId50"/>
    <sheet name="富田林市" sheetId="54" r:id="rId51"/>
    <sheet name="寝屋川市" sheetId="55" r:id="rId52"/>
    <sheet name="河内長野市" sheetId="56" r:id="rId53"/>
    <sheet name="松原市" sheetId="57" r:id="rId54"/>
    <sheet name="大東市" sheetId="58" r:id="rId55"/>
    <sheet name="和泉市" sheetId="59" r:id="rId56"/>
    <sheet name="箕面市" sheetId="60" r:id="rId57"/>
    <sheet name="柏原市" sheetId="61" r:id="rId58"/>
    <sheet name="羽曳野市" sheetId="62" r:id="rId59"/>
    <sheet name="門真市" sheetId="63" r:id="rId60"/>
    <sheet name="摂津市" sheetId="64" r:id="rId61"/>
    <sheet name="高石市" sheetId="65" r:id="rId62"/>
    <sheet name="藤井寺市" sheetId="66" r:id="rId63"/>
    <sheet name="東大阪市" sheetId="67" r:id="rId64"/>
    <sheet name="泉南市" sheetId="68" r:id="rId65"/>
    <sheet name="四條畷市" sheetId="69" r:id="rId66"/>
    <sheet name="交野市" sheetId="70" r:id="rId67"/>
    <sheet name="大阪狭山市" sheetId="71" r:id="rId68"/>
    <sheet name="阪南市" sheetId="72" r:id="rId69"/>
    <sheet name="三島郡島本町" sheetId="73" r:id="rId70"/>
    <sheet name="豊能郡豊能町" sheetId="74" r:id="rId71"/>
    <sheet name="豊能郡能勢町" sheetId="75" r:id="rId72"/>
    <sheet name="泉北郡忠岡町" sheetId="76" r:id="rId73"/>
    <sheet name="泉南郡熊取町" sheetId="77" r:id="rId74"/>
    <sheet name="泉南郡田尻町" sheetId="78" r:id="rId75"/>
    <sheet name="泉南郡岬町" sheetId="79" r:id="rId76"/>
    <sheet name="南河内郡太子町" sheetId="80" r:id="rId77"/>
    <sheet name="南河内郡河南町" sheetId="81" r:id="rId78"/>
    <sheet name="南河内郡千早赤阪村" sheetId="82" r:id="rId79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91029"/>
  <pivotCaches>
    <pivotCache cacheId="2206" r:id="rId80"/>
    <pivotCache cacheId="2207" r:id="rId81"/>
    <pivotCache cacheId="2208" r:id="rId8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82" l="1"/>
  <c r="G21" i="82"/>
  <c r="E21" i="82"/>
  <c r="I20" i="82"/>
  <c r="G20" i="82"/>
  <c r="E20" i="82"/>
  <c r="C20" i="82"/>
  <c r="I21" i="81"/>
  <c r="G21" i="81"/>
  <c r="E21" i="81"/>
  <c r="I20" i="81"/>
  <c r="G20" i="81"/>
  <c r="E20" i="81"/>
  <c r="C20" i="81"/>
  <c r="I21" i="80"/>
  <c r="G21" i="80"/>
  <c r="E21" i="80"/>
  <c r="I20" i="80"/>
  <c r="G20" i="80"/>
  <c r="E20" i="80"/>
  <c r="C20" i="80"/>
  <c r="I21" i="79"/>
  <c r="G21" i="79"/>
  <c r="E21" i="79"/>
  <c r="I20" i="79"/>
  <c r="G20" i="79"/>
  <c r="E20" i="79"/>
  <c r="C20" i="79"/>
  <c r="I21" i="78"/>
  <c r="G21" i="78"/>
  <c r="E21" i="78"/>
  <c r="I20" i="78"/>
  <c r="G20" i="78"/>
  <c r="E20" i="78"/>
  <c r="C20" i="78"/>
  <c r="I21" i="77"/>
  <c r="G21" i="77"/>
  <c r="E21" i="77"/>
  <c r="I20" i="77"/>
  <c r="G20" i="77"/>
  <c r="E20" i="77"/>
  <c r="C20" i="77"/>
  <c r="I21" i="76"/>
  <c r="G21" i="76"/>
  <c r="E21" i="76"/>
  <c r="I20" i="76"/>
  <c r="G20" i="76"/>
  <c r="E20" i="76"/>
  <c r="C20" i="76"/>
  <c r="I21" i="75"/>
  <c r="G21" i="75"/>
  <c r="E21" i="75"/>
  <c r="I20" i="75"/>
  <c r="G20" i="75"/>
  <c r="E20" i="75"/>
  <c r="C20" i="75"/>
  <c r="I21" i="74"/>
  <c r="G21" i="74"/>
  <c r="E21" i="74"/>
  <c r="I20" i="74"/>
  <c r="G20" i="74"/>
  <c r="E20" i="74"/>
  <c r="C20" i="74"/>
  <c r="I21" i="73"/>
  <c r="G21" i="73"/>
  <c r="E21" i="73"/>
  <c r="I20" i="73"/>
  <c r="G20" i="73"/>
  <c r="E20" i="73"/>
  <c r="C20" i="73"/>
  <c r="I21" i="72"/>
  <c r="G21" i="72"/>
  <c r="E21" i="72"/>
  <c r="I20" i="72"/>
  <c r="G20" i="72"/>
  <c r="E20" i="72"/>
  <c r="C20" i="72"/>
  <c r="I21" i="71"/>
  <c r="G21" i="71"/>
  <c r="E21" i="71"/>
  <c r="I20" i="71"/>
  <c r="G20" i="71"/>
  <c r="E20" i="71"/>
  <c r="C20" i="71"/>
  <c r="I21" i="70"/>
  <c r="G21" i="70"/>
  <c r="E21" i="70"/>
  <c r="I20" i="70"/>
  <c r="G20" i="70"/>
  <c r="E20" i="70"/>
  <c r="C20" i="70"/>
  <c r="I21" i="69"/>
  <c r="G21" i="69"/>
  <c r="E21" i="69"/>
  <c r="I20" i="69"/>
  <c r="G20" i="69"/>
  <c r="E20" i="69"/>
  <c r="C20" i="69"/>
  <c r="I21" i="68"/>
  <c r="G21" i="68"/>
  <c r="E21" i="68"/>
  <c r="I20" i="68"/>
  <c r="G20" i="68"/>
  <c r="E20" i="68"/>
  <c r="C20" i="68"/>
  <c r="I21" i="67"/>
  <c r="G21" i="67"/>
  <c r="E21" i="67"/>
  <c r="I20" i="67"/>
  <c r="G20" i="67"/>
  <c r="E20" i="67"/>
  <c r="C20" i="67"/>
  <c r="I21" i="66"/>
  <c r="G21" i="66"/>
  <c r="E21" i="66"/>
  <c r="I20" i="66"/>
  <c r="G20" i="66"/>
  <c r="E20" i="66"/>
  <c r="C20" i="66"/>
  <c r="I21" i="65"/>
  <c r="G21" i="65"/>
  <c r="E21" i="65"/>
  <c r="I20" i="65"/>
  <c r="G20" i="65"/>
  <c r="E20" i="65"/>
  <c r="C20" i="65"/>
  <c r="I21" i="64"/>
  <c r="G21" i="64"/>
  <c r="E21" i="64"/>
  <c r="I20" i="64"/>
  <c r="G20" i="64"/>
  <c r="E20" i="64"/>
  <c r="C20" i="64"/>
  <c r="I21" i="63"/>
  <c r="G21" i="63"/>
  <c r="E21" i="63"/>
  <c r="I20" i="63"/>
  <c r="G20" i="63"/>
  <c r="E20" i="63"/>
  <c r="C20" i="63"/>
  <c r="I21" i="62"/>
  <c r="G21" i="62"/>
  <c r="E21" i="62"/>
  <c r="I20" i="62"/>
  <c r="G20" i="62"/>
  <c r="E20" i="62"/>
  <c r="C20" i="62"/>
  <c r="I21" i="61"/>
  <c r="G21" i="61"/>
  <c r="E21" i="61"/>
  <c r="I20" i="61"/>
  <c r="G20" i="61"/>
  <c r="E20" i="61"/>
  <c r="C20" i="61"/>
  <c r="I21" i="60"/>
  <c r="G21" i="60"/>
  <c r="E21" i="60"/>
  <c r="I20" i="60"/>
  <c r="G20" i="60"/>
  <c r="E20" i="60"/>
  <c r="C20" i="60"/>
  <c r="I21" i="59"/>
  <c r="G21" i="59"/>
  <c r="E21" i="59"/>
  <c r="I20" i="59"/>
  <c r="G20" i="59"/>
  <c r="E20" i="59"/>
  <c r="C20" i="59"/>
  <c r="I21" i="58"/>
  <c r="G21" i="58"/>
  <c r="E21" i="58"/>
  <c r="I20" i="58"/>
  <c r="G20" i="58"/>
  <c r="E20" i="58"/>
  <c r="C20" i="58"/>
  <c r="I21" i="57"/>
  <c r="G21" i="57"/>
  <c r="E21" i="57"/>
  <c r="I20" i="57"/>
  <c r="G20" i="57"/>
  <c r="E20" i="57"/>
  <c r="C20" i="57"/>
  <c r="I21" i="56"/>
  <c r="G21" i="56"/>
  <c r="E21" i="56"/>
  <c r="I20" i="56"/>
  <c r="G20" i="56"/>
  <c r="E20" i="56"/>
  <c r="C20" i="56"/>
  <c r="I21" i="55"/>
  <c r="G21" i="55"/>
  <c r="E21" i="55"/>
  <c r="I20" i="55"/>
  <c r="G20" i="55"/>
  <c r="E20" i="55"/>
  <c r="C20" i="55"/>
  <c r="I21" i="54"/>
  <c r="G21" i="54"/>
  <c r="E21" i="54"/>
  <c r="I20" i="54"/>
  <c r="G20" i="54"/>
  <c r="E20" i="54"/>
  <c r="C20" i="54"/>
  <c r="I21" i="53"/>
  <c r="G21" i="53"/>
  <c r="E21" i="53"/>
  <c r="I20" i="53"/>
  <c r="G20" i="53"/>
  <c r="E20" i="53"/>
  <c r="C20" i="53"/>
  <c r="I21" i="52"/>
  <c r="G21" i="52"/>
  <c r="E21" i="52"/>
  <c r="I20" i="52"/>
  <c r="G20" i="52"/>
  <c r="E20" i="52"/>
  <c r="C20" i="52"/>
  <c r="I21" i="51"/>
  <c r="G21" i="51"/>
  <c r="E21" i="51"/>
  <c r="I20" i="51"/>
  <c r="G20" i="51"/>
  <c r="E20" i="51"/>
  <c r="C20" i="51"/>
  <c r="I21" i="50"/>
  <c r="G21" i="50"/>
  <c r="E21" i="50"/>
  <c r="I20" i="50"/>
  <c r="G20" i="50"/>
  <c r="E20" i="50"/>
  <c r="C20" i="50"/>
  <c r="I21" i="49"/>
  <c r="G21" i="49"/>
  <c r="E21" i="49"/>
  <c r="I20" i="49"/>
  <c r="G20" i="49"/>
  <c r="E20" i="49"/>
  <c r="C20" i="49"/>
  <c r="I21" i="48"/>
  <c r="G21" i="48"/>
  <c r="E21" i="48"/>
  <c r="I20" i="48"/>
  <c r="G20" i="48"/>
  <c r="E20" i="48"/>
  <c r="C20" i="48"/>
  <c r="I21" i="47"/>
  <c r="G21" i="47"/>
  <c r="E21" i="47"/>
  <c r="I20" i="47"/>
  <c r="G20" i="47"/>
  <c r="E20" i="47"/>
  <c r="C20" i="47"/>
  <c r="I21" i="46"/>
  <c r="G21" i="46"/>
  <c r="E21" i="46"/>
  <c r="I20" i="46"/>
  <c r="G20" i="46"/>
  <c r="E20" i="46"/>
  <c r="C20" i="46"/>
  <c r="I21" i="45"/>
  <c r="G21" i="45"/>
  <c r="E21" i="45"/>
  <c r="I20" i="45"/>
  <c r="G20" i="45"/>
  <c r="E20" i="45"/>
  <c r="C20" i="45"/>
  <c r="I21" i="44"/>
  <c r="G21" i="44"/>
  <c r="E21" i="44"/>
  <c r="I20" i="44"/>
  <c r="G20" i="44"/>
  <c r="E20" i="44"/>
  <c r="C20" i="44"/>
  <c r="I21" i="43"/>
  <c r="G21" i="43"/>
  <c r="E21" i="43"/>
  <c r="I20" i="43"/>
  <c r="G20" i="43"/>
  <c r="E20" i="43"/>
  <c r="C20" i="43"/>
  <c r="I21" i="42"/>
  <c r="G21" i="42"/>
  <c r="E21" i="42"/>
  <c r="I20" i="42"/>
  <c r="G20" i="42"/>
  <c r="E20" i="42"/>
  <c r="C20" i="42"/>
  <c r="I21" i="41"/>
  <c r="G21" i="41"/>
  <c r="E21" i="41"/>
  <c r="I20" i="41"/>
  <c r="G20" i="41"/>
  <c r="E20" i="41"/>
  <c r="C20" i="41"/>
  <c r="I21" i="40"/>
  <c r="G21" i="40"/>
  <c r="E21" i="40"/>
  <c r="I20" i="40"/>
  <c r="G20" i="40"/>
  <c r="E20" i="40"/>
  <c r="C20" i="40"/>
  <c r="I21" i="39"/>
  <c r="G21" i="39"/>
  <c r="E21" i="39"/>
  <c r="I20" i="39"/>
  <c r="G20" i="39"/>
  <c r="E20" i="39"/>
  <c r="C20" i="39"/>
  <c r="I21" i="38"/>
  <c r="G21" i="38"/>
  <c r="E21" i="38"/>
  <c r="I20" i="38"/>
  <c r="G20" i="38"/>
  <c r="E20" i="38"/>
  <c r="C20" i="38"/>
  <c r="I21" i="37"/>
  <c r="G21" i="37"/>
  <c r="E21" i="37"/>
  <c r="I20" i="37"/>
  <c r="G20" i="37"/>
  <c r="E20" i="37"/>
  <c r="C20" i="37"/>
  <c r="I21" i="36"/>
  <c r="G21" i="36"/>
  <c r="E21" i="36"/>
  <c r="I20" i="36"/>
  <c r="G20" i="36"/>
  <c r="E20" i="36"/>
  <c r="C20" i="36"/>
  <c r="I21" i="35"/>
  <c r="G21" i="35"/>
  <c r="E21" i="35"/>
  <c r="I20" i="35"/>
  <c r="G20" i="35"/>
  <c r="E20" i="35"/>
  <c r="C20" i="35"/>
  <c r="I21" i="34"/>
  <c r="G21" i="34"/>
  <c r="E21" i="34"/>
  <c r="I20" i="34"/>
  <c r="G20" i="34"/>
  <c r="E20" i="34"/>
  <c r="C20" i="34"/>
  <c r="I21" i="33"/>
  <c r="G21" i="33"/>
  <c r="E21" i="33"/>
  <c r="I20" i="33"/>
  <c r="G20" i="33"/>
  <c r="E20" i="33"/>
  <c r="C20" i="33"/>
  <c r="I21" i="32"/>
  <c r="G21" i="32"/>
  <c r="E21" i="32"/>
  <c r="I20" i="32"/>
  <c r="G20" i="32"/>
  <c r="E20" i="32"/>
  <c r="C20" i="32"/>
  <c r="I21" i="31"/>
  <c r="G21" i="31"/>
  <c r="E21" i="31"/>
  <c r="I20" i="31"/>
  <c r="G20" i="31"/>
  <c r="E20" i="31"/>
  <c r="C20" i="31"/>
  <c r="I21" i="30"/>
  <c r="G21" i="30"/>
  <c r="E21" i="30"/>
  <c r="I20" i="30"/>
  <c r="G20" i="30"/>
  <c r="E20" i="30"/>
  <c r="C20" i="30"/>
  <c r="I21" i="29"/>
  <c r="G21" i="29"/>
  <c r="E21" i="29"/>
  <c r="I20" i="29"/>
  <c r="G20" i="29"/>
  <c r="E20" i="29"/>
  <c r="C20" i="29"/>
  <c r="I21" i="28"/>
  <c r="G21" i="28"/>
  <c r="E21" i="28"/>
  <c r="I20" i="28"/>
  <c r="G20" i="28"/>
  <c r="E20" i="28"/>
  <c r="C20" i="28"/>
  <c r="I21" i="27"/>
  <c r="G21" i="27"/>
  <c r="E21" i="27"/>
  <c r="I20" i="27"/>
  <c r="G20" i="27"/>
  <c r="E20" i="27"/>
  <c r="C20" i="27"/>
  <c r="I21" i="26"/>
  <c r="G21" i="26"/>
  <c r="E21" i="26"/>
  <c r="I20" i="26"/>
  <c r="G20" i="26"/>
  <c r="E20" i="26"/>
  <c r="C20" i="26"/>
  <c r="I21" i="25"/>
  <c r="G21" i="25"/>
  <c r="E21" i="25"/>
  <c r="I20" i="25"/>
  <c r="G20" i="25"/>
  <c r="E20" i="25"/>
  <c r="C20" i="25"/>
  <c r="I21" i="24"/>
  <c r="G21" i="24"/>
  <c r="E21" i="24"/>
  <c r="I20" i="24"/>
  <c r="G20" i="24"/>
  <c r="E20" i="24"/>
  <c r="C20" i="24"/>
  <c r="I21" i="23"/>
  <c r="G21" i="23"/>
  <c r="E21" i="23"/>
  <c r="I20" i="23"/>
  <c r="G20" i="23"/>
  <c r="E20" i="23"/>
  <c r="C20" i="23"/>
  <c r="I21" i="22"/>
  <c r="G21" i="22"/>
  <c r="E21" i="22"/>
  <c r="I20" i="22"/>
  <c r="G20" i="22"/>
  <c r="E20" i="22"/>
  <c r="C20" i="22"/>
  <c r="I21" i="21"/>
  <c r="G21" i="21"/>
  <c r="E21" i="21"/>
  <c r="I20" i="21"/>
  <c r="G20" i="21"/>
  <c r="E20" i="21"/>
  <c r="C20" i="21"/>
  <c r="I21" i="20"/>
  <c r="G21" i="20"/>
  <c r="E21" i="20"/>
  <c r="I20" i="20"/>
  <c r="G20" i="20"/>
  <c r="E20" i="20"/>
  <c r="C20" i="20"/>
  <c r="I21" i="19"/>
  <c r="G21" i="19"/>
  <c r="E21" i="19"/>
  <c r="I20" i="19"/>
  <c r="G20" i="19"/>
  <c r="E20" i="19"/>
  <c r="C20" i="19"/>
  <c r="I21" i="18"/>
  <c r="G21" i="18"/>
  <c r="E21" i="18"/>
  <c r="I20" i="18"/>
  <c r="G20" i="18"/>
  <c r="E20" i="18"/>
  <c r="C20" i="18"/>
  <c r="I21" i="17"/>
  <c r="G21" i="17"/>
  <c r="E21" i="17"/>
  <c r="I20" i="17"/>
  <c r="G20" i="17"/>
  <c r="E20" i="17"/>
  <c r="C20" i="17"/>
  <c r="I21" i="16"/>
  <c r="G21" i="16"/>
  <c r="E21" i="16"/>
  <c r="I20" i="16"/>
  <c r="G20" i="16"/>
  <c r="E20" i="16"/>
  <c r="C20" i="16"/>
  <c r="I21" i="15"/>
  <c r="G21" i="15"/>
  <c r="E21" i="15"/>
  <c r="I20" i="15"/>
  <c r="G20" i="15"/>
  <c r="E20" i="15"/>
  <c r="C20" i="15"/>
  <c r="I21" i="14"/>
  <c r="G21" i="14"/>
  <c r="E21" i="14"/>
  <c r="I20" i="14"/>
  <c r="G20" i="14"/>
  <c r="E20" i="14"/>
  <c r="C20" i="14"/>
  <c r="I21" i="13"/>
  <c r="G21" i="13"/>
  <c r="E21" i="13"/>
  <c r="I20" i="13"/>
  <c r="G20" i="13"/>
  <c r="E20" i="13"/>
  <c r="C20" i="13"/>
  <c r="I21" i="12"/>
  <c r="G21" i="12"/>
  <c r="E21" i="12"/>
  <c r="I20" i="12"/>
  <c r="G20" i="12"/>
  <c r="E20" i="12"/>
  <c r="C20" i="12"/>
  <c r="I21" i="11"/>
  <c r="G21" i="11"/>
  <c r="E21" i="11"/>
  <c r="I20" i="11"/>
  <c r="G20" i="11"/>
  <c r="E20" i="11"/>
  <c r="C20" i="11"/>
  <c r="I21" i="10"/>
  <c r="G21" i="10"/>
  <c r="E21" i="10"/>
  <c r="I20" i="10"/>
  <c r="G20" i="10"/>
  <c r="E20" i="10"/>
  <c r="C20" i="10"/>
  <c r="I21" i="9"/>
  <c r="G21" i="9"/>
  <c r="E21" i="9"/>
  <c r="I20" i="9"/>
  <c r="G20" i="9"/>
  <c r="E20" i="9"/>
  <c r="C20" i="9"/>
  <c r="I21" i="8"/>
  <c r="G21" i="8"/>
  <c r="E21" i="8"/>
  <c r="I20" i="8"/>
  <c r="G20" i="8"/>
  <c r="E20" i="8"/>
  <c r="C20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3000000}" name="ec2021 L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xr16:uid="{00000000-0015-0000-FFFF-FFFF06000000}" name="ec2021 M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xr16:uid="{00000000-0015-0000-FFFF-FFFF08000000}" name="ec2021 S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<sst xmlns="http://schemas.openxmlformats.org/spreadsheetml/2006/main" count="10851" uniqueCount="425">
  <si>
    <t>27000 大阪府</t>
  </si>
  <si>
    <t>27100 大阪市</t>
  </si>
  <si>
    <t>27102 大阪市都島区</t>
  </si>
  <si>
    <t>27103 大阪市福島区</t>
  </si>
  <si>
    <t>27104 大阪市此花区</t>
  </si>
  <si>
    <t>27106 大阪市西区</t>
  </si>
  <si>
    <t>27107 大阪市港区</t>
  </si>
  <si>
    <t>27108 大阪市大正区</t>
  </si>
  <si>
    <t>27109 大阪市天王寺区</t>
  </si>
  <si>
    <t>27111 大阪市浪速区</t>
  </si>
  <si>
    <t>27113 大阪市西淀川区</t>
  </si>
  <si>
    <t>27114 大阪市東淀川区</t>
  </si>
  <si>
    <t>27115 大阪市東成区</t>
  </si>
  <si>
    <t>27116 大阪市生野区</t>
  </si>
  <si>
    <t>27117 大阪市旭区</t>
  </si>
  <si>
    <t>27118 大阪市城東区</t>
  </si>
  <si>
    <t>27119 大阪市阿倍野区</t>
  </si>
  <si>
    <t>27120 大阪市住吉区</t>
  </si>
  <si>
    <t>27121 大阪市東住吉区</t>
  </si>
  <si>
    <t>27122 大阪市西成区</t>
  </si>
  <si>
    <t>27123 大阪市淀川区</t>
  </si>
  <si>
    <t>27124 大阪市鶴見区</t>
  </si>
  <si>
    <t>27125 大阪市住之江区</t>
  </si>
  <si>
    <t>27126 大阪市平野区</t>
  </si>
  <si>
    <t>27127 大阪市北区</t>
  </si>
  <si>
    <t>27128 大阪市中央区</t>
  </si>
  <si>
    <t>27140 堺市</t>
  </si>
  <si>
    <t>27141 堺市堺区</t>
  </si>
  <si>
    <t>27142 堺市中区</t>
  </si>
  <si>
    <t>27143 堺市東区</t>
  </si>
  <si>
    <t>27144 堺市西区</t>
  </si>
  <si>
    <t>27145 堺市南区</t>
  </si>
  <si>
    <t>27146 堺市北区</t>
  </si>
  <si>
    <t>27147 堺市美原区</t>
  </si>
  <si>
    <t>27202 岸和田市</t>
  </si>
  <si>
    <t>27203 豊中市</t>
  </si>
  <si>
    <t>27204 池田市</t>
  </si>
  <si>
    <t>27205 吹田市</t>
  </si>
  <si>
    <t>27206 泉大津市</t>
  </si>
  <si>
    <t>27207 高槻市</t>
  </si>
  <si>
    <t>27208 貝塚市</t>
  </si>
  <si>
    <t>27209 守口市</t>
  </si>
  <si>
    <t>27210 枚方市</t>
  </si>
  <si>
    <t>27211 茨木市</t>
  </si>
  <si>
    <t>27212 八尾市</t>
  </si>
  <si>
    <t>27213 泉佐野市</t>
  </si>
  <si>
    <t>27214 富田林市</t>
  </si>
  <si>
    <t>27215 寝屋川市</t>
  </si>
  <si>
    <t>27216 河内長野市</t>
  </si>
  <si>
    <t>27217 松原市</t>
  </si>
  <si>
    <t>27218 大東市</t>
  </si>
  <si>
    <t>27219 和泉市</t>
  </si>
  <si>
    <t>27220 箕面市</t>
  </si>
  <si>
    <t>27221 柏原市</t>
  </si>
  <si>
    <t>27222 羽曳野市</t>
  </si>
  <si>
    <t>27223 門真市</t>
  </si>
  <si>
    <t>27224 摂津市</t>
  </si>
  <si>
    <t>27225 高石市</t>
  </si>
  <si>
    <t>27226 藤井寺市</t>
  </si>
  <si>
    <t>27227 東大阪市</t>
  </si>
  <si>
    <t>27228 泉南市</t>
  </si>
  <si>
    <t>27229 四條畷市</t>
  </si>
  <si>
    <t>27230 交野市</t>
  </si>
  <si>
    <t>27231 大阪狭山市</t>
  </si>
  <si>
    <t>27232 阪南市</t>
  </si>
  <si>
    <t>27301 三島郡島本町</t>
  </si>
  <si>
    <t>27321 豊能郡豊能町</t>
  </si>
  <si>
    <t>27322 豊能郡能勢町</t>
  </si>
  <si>
    <t>27341 泉北郡忠岡町</t>
  </si>
  <si>
    <t>27361 泉南郡熊取町</t>
  </si>
  <si>
    <t>27362 泉南郡田尻町</t>
  </si>
  <si>
    <t>27366 泉南郡岬町</t>
  </si>
  <si>
    <t>27381 南河内郡太子町</t>
  </si>
  <si>
    <t>27382 南河内郡河南町</t>
  </si>
  <si>
    <t>27383 南河内郡千早赤阪村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</si>
  <si>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</si>
  <si>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</si>
  <si>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</si>
  <si>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</si>
  <si>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</si>
  <si>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</si>
  <si>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</si>
  <si>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</si>
  <si>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</si>
  <si>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</si>
  <si>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</si>
  <si>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</si>
  <si>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</si>
  <si>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</si>
  <si>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</si>
  <si>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</si>
  <si>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</si>
  <si>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</si>
  <si>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</si>
  <si>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</si>
  <si>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</si>
  <si>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</si>
  <si>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</si>
  <si>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</si>
  <si>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</si>
  <si>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</si>
  <si>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24 金属製品製造業</t>
  </si>
  <si>
    <t>53 建築材料，鉱物・金属材料等卸売業</t>
  </si>
  <si>
    <t>54 機械器具卸売業</t>
  </si>
  <si>
    <t>55 その他の卸売業</t>
  </si>
  <si>
    <t>57 織物・衣服・身の回り品小売業</t>
  </si>
  <si>
    <t>58 飲食料品小売業</t>
  </si>
  <si>
    <t>59 機械器具小売業</t>
  </si>
  <si>
    <t>60 その他の小売業</t>
  </si>
  <si>
    <t>68 不動産取引業</t>
  </si>
  <si>
    <t>69 不動産賃貸業・管理業</t>
  </si>
  <si>
    <t>72 専門サービス業（他に分類されないもの）</t>
  </si>
  <si>
    <t>74 技術サービス業（他に分類されないもの）</t>
  </si>
  <si>
    <t>76 飲食店</t>
  </si>
  <si>
    <t>78 洗濯・理容・美容・浴場業</t>
  </si>
  <si>
    <t>82 その他の教育，学習支援業</t>
  </si>
  <si>
    <t>83 医療業</t>
  </si>
  <si>
    <t>85 社会保険・社会福祉・介護事業</t>
  </si>
  <si>
    <t>51 繊維・衣服等卸売業</t>
  </si>
  <si>
    <t>92 その他の事業サービス業</t>
  </si>
  <si>
    <t>11 繊維工業</t>
  </si>
  <si>
    <t>15 印刷・同関連業</t>
  </si>
  <si>
    <t>52 飲食料品卸売業</t>
  </si>
  <si>
    <t>48 運輸に附帯するサービス業</t>
  </si>
  <si>
    <t>77 持ち帰り・配達飲食サービス業</t>
  </si>
  <si>
    <t>39 情報サービス業</t>
  </si>
  <si>
    <t>25 はん用機械器具製造業</t>
  </si>
  <si>
    <t>26 生産用機械器具製造業</t>
  </si>
  <si>
    <t>22 鉄鋼業</t>
  </si>
  <si>
    <t>89 自動車整備業</t>
  </si>
  <si>
    <t>79 その他の生活関連サービス業</t>
  </si>
  <si>
    <t>14 パルプ・紙・紙加工品製造業</t>
  </si>
  <si>
    <t>18 プラスチック製品製造業（別掲を除く）</t>
  </si>
  <si>
    <t>19 ゴム製品製造業</t>
  </si>
  <si>
    <t>32 その他の製造業</t>
  </si>
  <si>
    <t>61 無店舗小売業</t>
  </si>
  <si>
    <t>20 なめし革・同製品・毛皮製造業</t>
  </si>
  <si>
    <t>75 宿泊業</t>
  </si>
  <si>
    <t>44 道路貨物運送業</t>
  </si>
  <si>
    <t>41 映像・音声・文字情報制作業</t>
  </si>
  <si>
    <t>43 道路旅客運送業</t>
  </si>
  <si>
    <t>12 木材・木製品製造業（家具を除く）</t>
  </si>
  <si>
    <t>13 家具・装備品製造業</t>
  </si>
  <si>
    <t>90 機械等修理業（別掲を除く）</t>
  </si>
  <si>
    <t>29 電気機械器具製造業</t>
  </si>
  <si>
    <t>80 娯楽業</t>
  </si>
  <si>
    <t>21 窯業・土石製品製造業</t>
  </si>
  <si>
    <t>88 廃棄物処理業</t>
  </si>
  <si>
    <t>46 航空運輸業</t>
  </si>
  <si>
    <t>09 食料品製造業</t>
  </si>
  <si>
    <t>自治体</t>
  </si>
  <si>
    <t>産業中分類</t>
  </si>
  <si>
    <t>064 建築工事業（木造建築工事業を除く）</t>
  </si>
  <si>
    <t>081 電気工事業</t>
  </si>
  <si>
    <t>559 他に分類されない卸売業</t>
  </si>
  <si>
    <t>573 婦人・子供服小売業</t>
  </si>
  <si>
    <t>589 その他の飲食料品小売業</t>
  </si>
  <si>
    <t>609 他に分類されない小売業</t>
  </si>
  <si>
    <t>682 不動産代理業・仲介業</t>
  </si>
  <si>
    <t>691 不動産賃貸業（貸家業，貸間業を除く）</t>
  </si>
  <si>
    <t>692 貸家業，貸間業</t>
  </si>
  <si>
    <t>693 駐車場業</t>
  </si>
  <si>
    <t>694 不動産管理業</t>
  </si>
  <si>
    <t>724 公認会計士事務所，税理士事務所</t>
  </si>
  <si>
    <t>762 専門料理店</t>
  </si>
  <si>
    <t>765 酒場，ビヤホール</t>
  </si>
  <si>
    <t>766 バー，キャバレー，ナイトクラブ</t>
  </si>
  <si>
    <t>767 喫茶店</t>
  </si>
  <si>
    <t>782 理容業</t>
  </si>
  <si>
    <t>783 美容業</t>
  </si>
  <si>
    <t>824 教養・技能教授業</t>
  </si>
  <si>
    <t>835 療術業</t>
  </si>
  <si>
    <t>742 土木建築サービス業</t>
  </si>
  <si>
    <t>929 他に分類されない事業サービス業</t>
  </si>
  <si>
    <t>083 管工事業（さく井工事業を除く）</t>
  </si>
  <si>
    <t>151 印刷業</t>
  </si>
  <si>
    <t>603 医薬品・化粧品小売業</t>
  </si>
  <si>
    <t>521 農畜産物・水産物卸売業</t>
  </si>
  <si>
    <t>522 食料・飲料卸売業</t>
  </si>
  <si>
    <t>541 産業機械器具卸売業</t>
  </si>
  <si>
    <t>542 自動車卸売業</t>
  </si>
  <si>
    <t>586 菓子・パン小売業</t>
  </si>
  <si>
    <t>761 食堂，レストラン（専門料理店を除く）</t>
  </si>
  <si>
    <t>769 その他の飲食店</t>
  </si>
  <si>
    <t>248 ボルト・ナット・リベット・小ねじ・木ねじ等製造業</t>
  </si>
  <si>
    <t>391 ソフトウェア業</t>
  </si>
  <si>
    <t>534 鉄鋼製品卸売業</t>
  </si>
  <si>
    <t>726 デザイン業</t>
  </si>
  <si>
    <t>728 経営コンサルタント業，純粋持株会社</t>
  </si>
  <si>
    <t>729 その他の専門サービス業</t>
  </si>
  <si>
    <t>062 土木工事業（舗装工事業を除く）</t>
  </si>
  <si>
    <t>079 その他の職別工事業</t>
  </si>
  <si>
    <t>244 建設用・建築用金属製品製造業（製缶板金業を含む）</t>
  </si>
  <si>
    <t>259 その他のはん用機械・同部分品製造業</t>
  </si>
  <si>
    <t>585 酒小売業</t>
  </si>
  <si>
    <t>593 機械器具小売業（自動車，自転車を除く）</t>
  </si>
  <si>
    <t>781 洗濯業</t>
  </si>
  <si>
    <t>229 その他の鉄鋼業</t>
  </si>
  <si>
    <t>891 自動車整備業</t>
  </si>
  <si>
    <t>823 学習塾</t>
  </si>
  <si>
    <t>543 電気機械器具卸売業</t>
  </si>
  <si>
    <t>607 スポーツ用品・がん具・娯楽用品・楽器小売業</t>
  </si>
  <si>
    <t>246 金属被覆・彫刻業，熱処理業（ほうろう鉄器を除く）</t>
  </si>
  <si>
    <t>253 一般産業用機械・装置製造業</t>
  </si>
  <si>
    <t>266 金属加工機械製造業</t>
  </si>
  <si>
    <t>116 外衣・シャツ製造業（和式を除く）</t>
  </si>
  <si>
    <t>153 製本業，印刷物加工業</t>
  </si>
  <si>
    <t>192 ゴム製・プラスチック製履物・同附属品製造業</t>
  </si>
  <si>
    <t>242 洋食器・刃物・手道具・金物類製造業</t>
  </si>
  <si>
    <t>854 老人福祉・介護事業</t>
  </si>
  <si>
    <t>066 建築リフォーム工事業</t>
  </si>
  <si>
    <t>833 歯科診療所</t>
  </si>
  <si>
    <t>432 一般乗用旅客自動車運送業</t>
  </si>
  <si>
    <t>204 革製履物製造業</t>
  </si>
  <si>
    <t>549 その他の機械器具卸売業</t>
  </si>
  <si>
    <t>591 自動車小売業</t>
  </si>
  <si>
    <t>441 一般貨物自動車運送業</t>
  </si>
  <si>
    <t>531 建築材料卸売業</t>
  </si>
  <si>
    <t>078 床・内装工事業</t>
  </si>
  <si>
    <t>721 法律事務所，特許事務所</t>
  </si>
  <si>
    <t>511 繊維品卸売業（衣服，身の回り品を除く）</t>
  </si>
  <si>
    <t>512 衣服卸売業</t>
  </si>
  <si>
    <t>722 公証人役場，司法書士事務所，土地家屋調査士事務所</t>
  </si>
  <si>
    <t>799 他に分類されない生活関連サービス業</t>
  </si>
  <si>
    <t>065 木造建築工事業</t>
  </si>
  <si>
    <t>072 とび・土工・コンクリート工事業</t>
  </si>
  <si>
    <t>077 塗装工事業</t>
  </si>
  <si>
    <t>131 家具製造業</t>
  </si>
  <si>
    <t>139 その他の家具・装備品製造業</t>
  </si>
  <si>
    <t>119 その他の繊維製品製造業</t>
  </si>
  <si>
    <t>247 金属線製品製造業（ねじ類を除く）</t>
  </si>
  <si>
    <t>245 金属素形材製品製造業</t>
  </si>
  <si>
    <t>269 その他の生産用機械・同部分品製造業</t>
  </si>
  <si>
    <t>611 通信販売・訪問販売小売業</t>
  </si>
  <si>
    <t>794 物品預り業</t>
  </si>
  <si>
    <t>111 製糸業，紡績業，化学繊維・ねん糸等製造業</t>
  </si>
  <si>
    <t>789 その他の洗濯・理容・美容・浴場業</t>
  </si>
  <si>
    <t>601 家具・建具・畳小売業</t>
  </si>
  <si>
    <t>743 機械設計業</t>
  </si>
  <si>
    <t>071 大工工事業</t>
  </si>
  <si>
    <t>099 その他の食料品製造業</t>
  </si>
  <si>
    <t>121 製材業，木製品製造業</t>
  </si>
  <si>
    <t>133 建具製造業</t>
  </si>
  <si>
    <t>182 プラスチックフィルム・シート・床材・合成皮革製造業</t>
  </si>
  <si>
    <t>212 セメント・同製品製造業</t>
  </si>
  <si>
    <t>605 燃料小売業</t>
  </si>
  <si>
    <t>759 その他の宿泊業</t>
  </si>
  <si>
    <t>806 遊戯場</t>
  </si>
  <si>
    <t>853 児童福祉事業</t>
  </si>
  <si>
    <t>881 一般廃棄物処理業</t>
  </si>
  <si>
    <t>903 表具業</t>
  </si>
  <si>
    <t>113 ニット生地製造業</t>
  </si>
  <si>
    <t>082 電気通信・信号装置工事業</t>
  </si>
  <si>
    <t>461 航空運送業</t>
  </si>
  <si>
    <t>582 野菜・果実小売業</t>
  </si>
  <si>
    <t>602 じゅう器小売業</t>
  </si>
  <si>
    <t>608 写真機・時計・眼鏡小売業</t>
  </si>
  <si>
    <t>584 鮮魚小売業</t>
  </si>
  <si>
    <t>751 旅館，ホテル</t>
  </si>
  <si>
    <t>809 その他の娯楽業</t>
  </si>
  <si>
    <t>118 和装製品・その他の衣服・繊維製身の回り品製造業</t>
  </si>
  <si>
    <t>145 紙製容器製造業</t>
  </si>
  <si>
    <t>185 プラスチック成形材料製造業（廃プラスチックを含む）</t>
  </si>
  <si>
    <t>189 その他のプラスチック製品製造業</t>
  </si>
  <si>
    <t>532 化学製品卸売業</t>
  </si>
  <si>
    <t>550 管理，補助的経済活動を行う事業所</t>
  </si>
  <si>
    <t>581 各種食料品小売業</t>
  </si>
  <si>
    <t>772 配達飲食サービス業</t>
  </si>
  <si>
    <t>産業小分類</t>
  </si>
  <si>
    <t>27000　大阪府</t>
  </si>
  <si>
    <t>産業大分類</t>
  </si>
  <si>
    <t>合計</t>
  </si>
  <si>
    <t>産業中分類上位２０</t>
    <phoneticPr fontId="1"/>
  </si>
  <si>
    <t>産業小分類上位２０</t>
    <phoneticPr fontId="1"/>
  </si>
  <si>
    <t>※当資料は『令和３年経済センサス-活動調査』の調査結果データより作成したものです。</t>
  </si>
  <si>
    <t>27100　大阪市</t>
  </si>
  <si>
    <t>27102　大阪市都島区</t>
  </si>
  <si>
    <t>27103　大阪市福島区</t>
  </si>
  <si>
    <t>27104　大阪市此花区</t>
  </si>
  <si>
    <t>27106　大阪市西区</t>
  </si>
  <si>
    <t>27107　大阪市港区</t>
  </si>
  <si>
    <t>27108　大阪市大正区</t>
  </si>
  <si>
    <t>27109　大阪市天王寺区</t>
  </si>
  <si>
    <t>27111　大阪市浪速区</t>
  </si>
  <si>
    <t>27113　大阪市西淀川区</t>
  </si>
  <si>
    <t>27114　大阪市東淀川区</t>
  </si>
  <si>
    <t>27115　大阪市東成区</t>
  </si>
  <si>
    <t>27116　大阪市生野区</t>
  </si>
  <si>
    <t>27117　大阪市旭区</t>
  </si>
  <si>
    <t>27118　大阪市城東区</t>
  </si>
  <si>
    <t>27119　大阪市阿倍野区</t>
  </si>
  <si>
    <t>27120　大阪市住吉区</t>
  </si>
  <si>
    <t>27121　大阪市東住吉区</t>
  </si>
  <si>
    <t>27122　大阪市西成区</t>
  </si>
  <si>
    <t>27123　大阪市淀川区</t>
  </si>
  <si>
    <t>27124　大阪市鶴見区</t>
  </si>
  <si>
    <t>27125　大阪市住之江区</t>
  </si>
  <si>
    <t>27126　大阪市平野区</t>
  </si>
  <si>
    <t>27127　大阪市北区</t>
  </si>
  <si>
    <t>27128　大阪市中央区</t>
  </si>
  <si>
    <t>27140　堺市</t>
  </si>
  <si>
    <t>27141　堺市堺区</t>
  </si>
  <si>
    <t>27142　堺市中区</t>
  </si>
  <si>
    <t>27143　堺市東区</t>
  </si>
  <si>
    <t>27144　堺市西区</t>
  </si>
  <si>
    <t>27145　堺市南区</t>
  </si>
  <si>
    <t>27146　堺市北区</t>
  </si>
  <si>
    <t>27147　堺市美原区</t>
  </si>
  <si>
    <t>27202　岸和田市</t>
  </si>
  <si>
    <t>27203　豊中市</t>
  </si>
  <si>
    <t>27204　池田市</t>
  </si>
  <si>
    <t>27205　吹田市</t>
  </si>
  <si>
    <t>27206　泉大津市</t>
  </si>
  <si>
    <t>27207　高槻市</t>
  </si>
  <si>
    <t>27208　貝塚市</t>
  </si>
  <si>
    <t>27209　守口市</t>
  </si>
  <si>
    <t>27210　枚方市</t>
  </si>
  <si>
    <t>27211　茨木市</t>
  </si>
  <si>
    <t>27212　八尾市</t>
  </si>
  <si>
    <t>27213　泉佐野市</t>
  </si>
  <si>
    <t>27214　富田林市</t>
  </si>
  <si>
    <t>27215　寝屋川市</t>
  </si>
  <si>
    <t>27216　河内長野市</t>
  </si>
  <si>
    <t>27217　松原市</t>
  </si>
  <si>
    <t>27218　大東市</t>
  </si>
  <si>
    <t>27219　和泉市</t>
  </si>
  <si>
    <t>27220　箕面市</t>
  </si>
  <si>
    <t>27221　柏原市</t>
  </si>
  <si>
    <t>27222　羽曳野市</t>
  </si>
  <si>
    <t>27223　門真市</t>
  </si>
  <si>
    <t>27224　摂津市</t>
  </si>
  <si>
    <t>27225　高石市</t>
  </si>
  <si>
    <t>27226　藤井寺市</t>
  </si>
  <si>
    <t>27227　東大阪市</t>
  </si>
  <si>
    <t>27228　泉南市</t>
  </si>
  <si>
    <t>27229　四條畷市</t>
  </si>
  <si>
    <t>27230　交野市</t>
  </si>
  <si>
    <t>27231　大阪狭山市</t>
  </si>
  <si>
    <t>27232　阪南市</t>
  </si>
  <si>
    <t>27301　三島郡島本町</t>
  </si>
  <si>
    <t>27321　豊能郡豊能町</t>
  </si>
  <si>
    <t>27322　豊能郡能勢町</t>
  </si>
  <si>
    <t>27341　泉北郡忠岡町</t>
  </si>
  <si>
    <t>27361　泉南郡熊取町</t>
  </si>
  <si>
    <t>27362　泉南郡田尻町</t>
  </si>
  <si>
    <t>27366　泉南郡岬町</t>
  </si>
  <si>
    <t>27381　南河内郡太子町</t>
  </si>
  <si>
    <t>27382　南河内郡河南町</t>
  </si>
  <si>
    <t>27383　南河内郡千早赤阪村</t>
  </si>
  <si>
    <t>大阪府</t>
  </si>
  <si>
    <t>大阪市</t>
  </si>
  <si>
    <t>大阪市都島区</t>
  </si>
  <si>
    <t>大阪市福島区</t>
  </si>
  <si>
    <t>大阪市此花区</t>
  </si>
  <si>
    <t>大阪市西区</t>
  </si>
  <si>
    <t>大阪市港区</t>
  </si>
  <si>
    <t>大阪市大正区</t>
  </si>
  <si>
    <t>大阪市天王寺区</t>
  </si>
  <si>
    <t>大阪市浪速区</t>
  </si>
  <si>
    <t>大阪市西淀川区</t>
  </si>
  <si>
    <t>大阪市東淀川区</t>
  </si>
  <si>
    <t>大阪市東成区</t>
  </si>
  <si>
    <t>大阪市生野区</t>
  </si>
  <si>
    <t>大阪市旭区</t>
  </si>
  <si>
    <t>大阪市城東区</t>
  </si>
  <si>
    <t>大阪市阿倍野区</t>
  </si>
  <si>
    <t>大阪市住吉区</t>
  </si>
  <si>
    <t>大阪市東住吉区</t>
  </si>
  <si>
    <t>大阪市西成区</t>
  </si>
  <si>
    <t>大阪市淀川区</t>
  </si>
  <si>
    <t>大阪市鶴見区</t>
  </si>
  <si>
    <t>大阪市住之江区</t>
  </si>
  <si>
    <t>大阪市平野区</t>
  </si>
  <si>
    <t>大阪市北区</t>
  </si>
  <si>
    <t>大阪市中央区</t>
  </si>
  <si>
    <t>堺市</t>
  </si>
  <si>
    <t>堺市堺区</t>
  </si>
  <si>
    <t>堺市中区</t>
  </si>
  <si>
    <t>堺市東区</t>
  </si>
  <si>
    <t>堺市西区</t>
  </si>
  <si>
    <t>堺市南区</t>
  </si>
  <si>
    <t>堺市北区</t>
  </si>
  <si>
    <t>堺市美原区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</si>
  <si>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</si>
  <si>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</si>
  <si>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</si>
  <si>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</si>
  <si>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</si>
  <si>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</si>
  <si>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</si>
  <si>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</si>
  <si>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</si>
  <si>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</si>
  <si>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</si>
  <si>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</si>
  <si>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</si>
  <si>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</si>
  <si>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</si>
  <si>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</si>
  <si>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</si>
  <si>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</si>
  <si>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</si>
  <si>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</si>
  <si>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</si>
  <si>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</si>
  <si>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</si>
  <si>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</si>
  <si>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</si>
  <si>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</si>
  <si>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</si>
  <si>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</si>
  <si>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</si>
  <si>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</si>
  <si>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</si>
  <si>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三島郡島本町</t>
  </si>
  <si>
    <t>豊能郡豊能町</t>
  </si>
  <si>
    <t>豊能郡能勢町</t>
  </si>
  <si>
    <t>泉北郡忠岡町</t>
  </si>
  <si>
    <t>泉南郡熊取町</t>
  </si>
  <si>
    <t>泉南郡田尻町</t>
  </si>
  <si>
    <t>泉南郡岬町</t>
  </si>
  <si>
    <t>南河内郡太子町</t>
  </si>
  <si>
    <t>南河内郡河南町</t>
  </si>
  <si>
    <t>南河内郡千早赤阪村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</si>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</sst>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1100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connections" Target="connections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pivotCacheDefinition" Target="pivotCache/pivotCacheDefinition1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pivotCacheDefinition" Target="pivotCache/pivotCacheDefinition2.xml"/><Relationship Id="rId86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calcChain" Target="calcChain.xml"/><Relationship Id="rId61" Type="http://schemas.openxmlformats.org/officeDocument/2006/relationships/worksheet" Target="worksheets/sheet61.xml"/><Relationship Id="rId82" Type="http://schemas.openxmlformats.org/officeDocument/2006/relationships/pivotCacheDefinition" Target="pivotCache/pivotCacheDefinition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58778935186" createdVersion="5" refreshedVersion="8" minRefreshableVersion="3" recordCount="1125" xr:uid="{29795ADD-0BDF-4CD2-A1B9-EADE1F58C3AE}">
  <cacheSource type="external" connectionId="1"/>
  <cacheFields count="11">
    <cacheField name="都道府県" numFmtId="0" sqlType="-9">
      <sharedItems count="1">
        <s v="27 大阪府"/>
      </sharedItems>
    </cacheField>
    <cacheField name="自治体名" numFmtId="0" sqlType="-9">
      <sharedItems/>
    </cacheField>
    <cacheField name="自治体" numFmtId="0" sqlType="-9">
      <sharedItems count="75">
        <s v="27000 大阪府"/>
        <s v="27100 大阪市"/>
        <s v="27102 大阪市都島区"/>
        <s v="27103 大阪市福島区"/>
        <s v="27104 大阪市此花区"/>
        <s v="27106 大阪市西区"/>
        <s v="27107 大阪市港区"/>
        <s v="27108 大阪市大正区"/>
        <s v="27109 大阪市天王寺区"/>
        <s v="27111 大阪市浪速区"/>
        <s v="27113 大阪市西淀川区"/>
        <s v="27114 大阪市東淀川区"/>
        <s v="27115 大阪市東成区"/>
        <s v="27116 大阪市生野区"/>
        <s v="27117 大阪市旭区"/>
        <s v="27118 大阪市城東区"/>
        <s v="27119 大阪市阿倍野区"/>
        <s v="27120 大阪市住吉区"/>
        <s v="27121 大阪市東住吉区"/>
        <s v="27122 大阪市西成区"/>
        <s v="27123 大阪市淀川区"/>
        <s v="27124 大阪市鶴見区"/>
        <s v="27125 大阪市住之江区"/>
        <s v="27126 大阪市平野区"/>
        <s v="27127 大阪市北区"/>
        <s v="27128 大阪市中央区"/>
        <s v="27140 堺市"/>
        <s v="27141 堺市堺区"/>
        <s v="27142 堺市中区"/>
        <s v="27143 堺市東区"/>
        <s v="27144 堺市西区"/>
        <s v="27145 堺市南区"/>
        <s v="27146 堺市北区"/>
        <s v="27147 堺市美原区"/>
        <s v="27202 岸和田市"/>
        <s v="27203 豊中市"/>
        <s v="27204 池田市"/>
        <s v="27205 吹田市"/>
        <s v="27206 泉大津市"/>
        <s v="27207 高槻市"/>
        <s v="27208 貝塚市"/>
        <s v="27209 守口市"/>
        <s v="27210 枚方市"/>
        <s v="27211 茨木市"/>
        <s v="27212 八尾市"/>
        <s v="27213 泉佐野市"/>
        <s v="27214 富田林市"/>
        <s v="27215 寝屋川市"/>
        <s v="27216 河内長野市"/>
        <s v="27217 松原市"/>
        <s v="27218 大東市"/>
        <s v="27219 和泉市"/>
        <s v="27220 箕面市"/>
        <s v="27221 柏原市"/>
        <s v="27222 羽曳野市"/>
        <s v="27223 門真市"/>
        <s v="27224 摂津市"/>
        <s v="27225 高石市"/>
        <s v="27226 藤井寺市"/>
        <s v="27227 東大阪市"/>
        <s v="27228 泉南市"/>
        <s v="27229 四條畷市"/>
        <s v="27230 交野市"/>
        <s v="27231 大阪狭山市"/>
        <s v="27232 阪南市"/>
        <s v="27301 三島郡島本町"/>
        <s v="27321 豊能郡豊能町"/>
        <s v="27322 豊能郡能勢町"/>
        <s v="27341 泉北郡忠岡町"/>
        <s v="27361 泉南郡熊取町"/>
        <s v="27362 泉南郡田尻町"/>
        <s v="27366 泉南郡岬町"/>
        <s v="27381 南河内郡太子町"/>
        <s v="27382 南河内郡河南町"/>
        <s v="27383 南河内郡千早赤阪村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4">
      <sharedItems containsSemiMixedTypes="0" containsString="0" containsNumber="1" containsInteger="1" minValue="0" maxValue="46834"/>
    </cacheField>
    <cacheField name="構成比" numFmtId="0" sqlType="3">
      <sharedItems containsSemiMixedTypes="0" containsString="0" containsNumber="1" minValue="0" maxValue="32.64"/>
    </cacheField>
    <cacheField name="総数（個人）" numFmtId="0" sqlType="4">
      <sharedItems containsSemiMixedTypes="0" containsString="0" containsNumber="1" containsInteger="1" minValue="0" maxValue="22382"/>
    </cacheField>
    <cacheField name="構成比（個人）" numFmtId="0" sqlType="3">
      <sharedItems containsSemiMixedTypes="0" containsString="0" containsNumber="1" minValue="0" maxValue="34.75"/>
    </cacheField>
    <cacheField name="総数（法人）" numFmtId="0" sqlType="4">
      <sharedItems containsSemiMixedTypes="0" containsString="0" containsNumber="1" containsInteger="1" minValue="0" maxValue="26384"/>
    </cacheField>
    <cacheField name="構成比（法人）" numFmtId="0" sqlType="3">
      <sharedItems containsSemiMixedTypes="0" containsString="0" containsNumber="1" minValue="0" maxValue="35.71"/>
    </cacheField>
    <cacheField name="総数（法人以外の団体）" numFmtId="0" sqlType="4">
      <sharedItems containsSemiMixedTypes="0" containsString="0" containsNumber="1" containsInteger="1" minValue="0" maxValue="129" count="24">
        <n v="0"/>
        <n v="3"/>
        <n v="4"/>
        <n v="6"/>
        <n v="8"/>
        <n v="20"/>
        <n v="34"/>
        <n v="25"/>
        <n v="13"/>
        <n v="47"/>
        <n v="70"/>
        <n v="129"/>
        <n v="2"/>
        <n v="5"/>
        <n v="16"/>
        <n v="18"/>
        <n v="12"/>
        <n v="57"/>
        <n v="1"/>
        <n v="9"/>
        <n v="7"/>
        <n v="14"/>
        <n v="19"/>
        <n v="1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58908796296" createdVersion="5" refreshedVersion="8" minRefreshableVersion="3" recordCount="1543" xr:uid="{A0D90C16-F0B4-45BB-B82B-64B0AB1095DF}">
  <cacheSource type="external" connectionId="2"/>
  <cacheFields count="14">
    <cacheField name="都道府県" numFmtId="0" sqlType="-9">
      <sharedItems count="1">
        <s v="27 大阪府"/>
      </sharedItems>
    </cacheField>
    <cacheField name="自治体名" numFmtId="0" sqlType="-9">
      <sharedItems count="75">
        <s v="大阪府"/>
        <s v="大阪市"/>
        <s v="大阪市都島区"/>
        <s v="大阪市福島区"/>
        <s v="大阪市此花区"/>
        <s v="大阪市西区"/>
        <s v="大阪市港区"/>
        <s v="大阪市大正区"/>
        <s v="大阪市天王寺区"/>
        <s v="大阪市浪速区"/>
        <s v="大阪市西淀川区"/>
        <s v="大阪市東淀川区"/>
        <s v="大阪市東成区"/>
        <s v="大阪市生野区"/>
        <s v="大阪市旭区"/>
        <s v="大阪市城東区"/>
        <s v="大阪市阿倍野区"/>
        <s v="大阪市住吉区"/>
        <s v="大阪市東住吉区"/>
        <s v="大阪市西成区"/>
        <s v="大阪市淀川区"/>
        <s v="大阪市鶴見区"/>
        <s v="大阪市住之江区"/>
        <s v="大阪市平野区"/>
        <s v="大阪市北区"/>
        <s v="大阪市中央区"/>
        <s v="堺市"/>
        <s v="堺市堺区"/>
        <s v="堺市中区"/>
        <s v="堺市東区"/>
        <s v="堺市西区"/>
        <s v="堺市南区"/>
        <s v="堺市北区"/>
        <s v="堺市美原区"/>
        <s v="岸和田市"/>
        <s v="豊中市"/>
        <s v="池田市"/>
        <s v="吹田市"/>
        <s v="泉大津市"/>
        <s v="高槻市"/>
        <s v="貝塚市"/>
        <s v="守口市"/>
        <s v="枚方市"/>
        <s v="茨木市"/>
        <s v="八尾市"/>
        <s v="泉佐野市"/>
        <s v="富田林市"/>
        <s v="寝屋川市"/>
        <s v="河内長野市"/>
        <s v="松原市"/>
        <s v="大東市"/>
        <s v="和泉市"/>
        <s v="箕面市"/>
        <s v="柏原市"/>
        <s v="羽曳野市"/>
        <s v="門真市"/>
        <s v="摂津市"/>
        <s v="高石市"/>
        <s v="藤井寺市"/>
        <s v="東大阪市"/>
        <s v="泉南市"/>
        <s v="四條畷市"/>
        <s v="交野市"/>
        <s v="大阪狭山市"/>
        <s v="阪南市"/>
        <s v="三島郡島本町"/>
        <s v="豊能郡豊能町"/>
        <s v="豊能郡能勢町"/>
        <s v="泉北郡忠岡町"/>
        <s v="泉南郡熊取町"/>
        <s v="泉南郡田尻町"/>
        <s v="泉南郡岬町"/>
        <s v="南河内郡太子町"/>
        <s v="南河内郡河南町"/>
        <s v="南河内郡千早赤阪村"/>
      </sharedItems>
    </cacheField>
    <cacheField name="自治体" numFmtId="0" sqlType="-9">
      <sharedItems count="75">
        <s v="27000 大阪府"/>
        <s v="27100 大阪市"/>
        <s v="27102 大阪市都島区"/>
        <s v="27103 大阪市福島区"/>
        <s v="27104 大阪市此花区"/>
        <s v="27106 大阪市西区"/>
        <s v="27107 大阪市港区"/>
        <s v="27108 大阪市大正区"/>
        <s v="27109 大阪市天王寺区"/>
        <s v="27111 大阪市浪速区"/>
        <s v="27113 大阪市西淀川区"/>
        <s v="27114 大阪市東淀川区"/>
        <s v="27115 大阪市東成区"/>
        <s v="27116 大阪市生野区"/>
        <s v="27117 大阪市旭区"/>
        <s v="27118 大阪市城東区"/>
        <s v="27119 大阪市阿倍野区"/>
        <s v="27120 大阪市住吉区"/>
        <s v="27121 大阪市東住吉区"/>
        <s v="27122 大阪市西成区"/>
        <s v="27123 大阪市淀川区"/>
        <s v="27124 大阪市鶴見区"/>
        <s v="27125 大阪市住之江区"/>
        <s v="27126 大阪市平野区"/>
        <s v="27127 大阪市北区"/>
        <s v="27128 大阪市中央区"/>
        <s v="27140 堺市"/>
        <s v="27141 堺市堺区"/>
        <s v="27142 堺市中区"/>
        <s v="27143 堺市東区"/>
        <s v="27144 堺市西区"/>
        <s v="27145 堺市南区"/>
        <s v="27146 堺市北区"/>
        <s v="27147 堺市美原区"/>
        <s v="27202 岸和田市"/>
        <s v="27203 豊中市"/>
        <s v="27204 池田市"/>
        <s v="27205 吹田市"/>
        <s v="27206 泉大津市"/>
        <s v="27207 高槻市"/>
        <s v="27208 貝塚市"/>
        <s v="27209 守口市"/>
        <s v="27210 枚方市"/>
        <s v="27211 茨木市"/>
        <s v="27212 八尾市"/>
        <s v="27213 泉佐野市"/>
        <s v="27214 富田林市"/>
        <s v="27215 寝屋川市"/>
        <s v="27216 河内長野市"/>
        <s v="27217 松原市"/>
        <s v="27218 大東市"/>
        <s v="27219 和泉市"/>
        <s v="27220 箕面市"/>
        <s v="27221 柏原市"/>
        <s v="27222 羽曳野市"/>
        <s v="27223 門真市"/>
        <s v="27224 摂津市"/>
        <s v="27225 高石市"/>
        <s v="27226 藤井寺市"/>
        <s v="27227 東大阪市"/>
        <s v="27228 泉南市"/>
        <s v="27229 四條畷市"/>
        <s v="27230 交野市"/>
        <s v="27231 大阪狭山市"/>
        <s v="27232 阪南市"/>
        <s v="27301 三島郡島本町"/>
        <s v="27321 豊能郡豊能町"/>
        <s v="27322 豊能郡能勢町"/>
        <s v="27341 泉北郡忠岡町"/>
        <s v="27361 泉南郡熊取町"/>
        <s v="27362 泉南郡田尻町"/>
        <s v="27366 泉南郡岬町"/>
        <s v="27381 南河内郡太子町"/>
        <s v="27382 南河内郡河南町"/>
        <s v="27383 南河内郡千早赤阪村"/>
      </sharedItems>
    </cacheField>
    <cacheField name="産業分類コード" numFmtId="0" sqlType="-8">
      <sharedItems count="52">
        <s v="76"/>
        <s v="69"/>
        <s v="78"/>
        <s v="60"/>
        <s v="72"/>
        <s v="06"/>
        <s v="83"/>
        <s v="58"/>
        <s v="82"/>
        <s v="08"/>
        <s v="07"/>
        <s v="24"/>
        <s v="57"/>
        <s v="59"/>
        <s v="68"/>
        <s v="55"/>
        <s v="54"/>
        <s v="74"/>
        <s v="53"/>
        <s v="85"/>
        <s v="92"/>
        <s v="51"/>
        <s v="15"/>
        <s v="11"/>
        <s v="52"/>
        <s v="48"/>
        <s v="77"/>
        <s v="39"/>
        <s v="25"/>
        <s v="26"/>
        <s v="22"/>
        <s v="89"/>
        <s v="79"/>
        <s v="14"/>
        <s v="18"/>
        <s v="19"/>
        <s v="32"/>
        <s v="61"/>
        <s v="20"/>
        <s v="75"/>
        <s v="44"/>
        <s v="41"/>
        <s v="43"/>
        <s v="13"/>
        <s v="12"/>
        <s v="90"/>
        <s v="29"/>
        <s v="80"/>
        <s v="21"/>
        <s v="88"/>
        <s v="46"/>
        <s v="09"/>
      </sharedItems>
    </cacheField>
    <cacheField name="産業分類" numFmtId="0" sqlType="-9">
      <sharedItems count="52">
        <s v="飲食店"/>
        <s v="不動産賃貸業・管理業"/>
        <s v="洗濯・理容・美容・浴場業"/>
        <s v="その他の小売業"/>
        <s v="専門サービス業（他に分類されないもの）"/>
        <s v="総合工事業"/>
        <s v="医療業"/>
        <s v="飲食料品小売業"/>
        <s v="その他の教育，学習支援業"/>
        <s v="設備工事業"/>
        <s v="職別工事業（設備工事業を除く）"/>
        <s v="金属製品製造業"/>
        <s v="織物・衣服・身の回り品小売業"/>
        <s v="機械器具小売業"/>
        <s v="不動産取引業"/>
        <s v="その他の卸売業"/>
        <s v="機械器具卸売業"/>
        <s v="技術サービス業（他に分類されないもの）"/>
        <s v="建築材料，鉱物・金属材料等卸売業"/>
        <s v="社会保険・社会福祉・介護事業"/>
        <s v="その他の事業サービス業"/>
        <s v="繊維・衣服等卸売業"/>
        <s v="印刷・同関連業"/>
        <s v="繊維工業"/>
        <s v="飲食料品卸売業"/>
        <s v="運輸に附帯するサービス業"/>
        <s v="持ち帰り・配達飲食サービス業"/>
        <s v="情報サービス業"/>
        <s v="はん用機械器具製造業"/>
        <s v="生産用機械器具製造業"/>
        <s v="鉄鋼業"/>
        <s v="自動車整備業"/>
        <s v="その他の生活関連サービス業"/>
        <s v="パルプ・紙・紙加工品製造業"/>
        <s v="プラスチック製品製造業（別掲を除く）"/>
        <s v="ゴム製品製造業"/>
        <s v="その他の製造業"/>
        <s v="無店舗小売業"/>
        <s v="なめし革・同製品・毛皮製造業"/>
        <s v="宿泊業"/>
        <s v="道路貨物運送業"/>
        <s v="映像・音声・文字情報制作業"/>
        <s v="道路旅客運送業"/>
        <s v="家具・装備品製造業"/>
        <s v="木材・木製品製造業（家具を除く）"/>
        <s v="機械等修理業（別掲を除く）"/>
        <s v="電気機械器具製造業"/>
        <s v="娯楽業"/>
        <s v="窯業・土石製品製造業"/>
        <s v="廃棄物処理業"/>
        <s v="航空運輸業"/>
        <s v="食料品製造業"/>
      </sharedItems>
    </cacheField>
    <cacheField name="産業中分類" numFmtId="0" sqlType="-9">
      <sharedItems count="52">
        <s v="76 飲食店"/>
        <s v="69 不動産賃貸業・管理業"/>
        <s v="78 洗濯・理容・美容・浴場業"/>
        <s v="60 その他の小売業"/>
        <s v="72 専門サービス業（他に分類されないもの）"/>
        <s v="06 総合工事業"/>
        <s v="83 医療業"/>
        <s v="58 飲食料品小売業"/>
        <s v="82 その他の教育，学習支援業"/>
        <s v="08 設備工事業"/>
        <s v="07 職別工事業（設備工事業を除く）"/>
        <s v="24 金属製品製造業"/>
        <s v="57 織物・衣服・身の回り品小売業"/>
        <s v="59 機械器具小売業"/>
        <s v="68 不動産取引業"/>
        <s v="55 その他の卸売業"/>
        <s v="54 機械器具卸売業"/>
        <s v="74 技術サービス業（他に分類されないもの）"/>
        <s v="53 建築材料，鉱物・金属材料等卸売業"/>
        <s v="85 社会保険・社会福祉・介護事業"/>
        <s v="92 その他の事業サービス業"/>
        <s v="51 繊維・衣服等卸売業"/>
        <s v="15 印刷・同関連業"/>
        <s v="11 繊維工業"/>
        <s v="52 飲食料品卸売業"/>
        <s v="48 運輸に附帯するサービス業"/>
        <s v="77 持ち帰り・配達飲食サービス業"/>
        <s v="39 情報サービス業"/>
        <s v="25 はん用機械器具製造業"/>
        <s v="26 生産用機械器具製造業"/>
        <s v="22 鉄鋼業"/>
        <s v="89 自動車整備業"/>
        <s v="79 その他の生活関連サービス業"/>
        <s v="14 パルプ・紙・紙加工品製造業"/>
        <s v="18 プラスチック製品製造業（別掲を除く）"/>
        <s v="19 ゴム製品製造業"/>
        <s v="32 その他の製造業"/>
        <s v="61 無店舗小売業"/>
        <s v="20 なめし革・同製品・毛皮製造業"/>
        <s v="75 宿泊業"/>
        <s v="44 道路貨物運送業"/>
        <s v="41 映像・音声・文字情報制作業"/>
        <s v="43 道路旅客運送業"/>
        <s v="13 家具・装備品製造業"/>
        <s v="12 木材・木製品製造業（家具を除く）"/>
        <s v="90 機械等修理業（別掲を除く）"/>
        <s v="29 電気機械器具製造業"/>
        <s v="80 娯楽業"/>
        <s v="21 窯業・土石製品製造業"/>
        <s v="88 廃棄物処理業"/>
        <s v="46 航空運輸業"/>
        <s v="09 食料品製造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2" maxValue="24648" count="416">
        <n v="24648"/>
        <n v="24103"/>
        <n v="16115"/>
        <n v="11068"/>
        <n v="10191"/>
        <n v="8629"/>
        <n v="8153"/>
        <n v="7593"/>
        <n v="6621"/>
        <n v="6599"/>
        <n v="6440"/>
        <n v="5791"/>
        <n v="5273"/>
        <n v="4709"/>
        <n v="4567"/>
        <n v="4192"/>
        <n v="4101"/>
        <n v="3972"/>
        <n v="3564"/>
        <n v="3085"/>
        <n v="12371"/>
        <n v="10315"/>
        <n v="7121"/>
        <n v="5658"/>
        <n v="4829"/>
        <n v="3256"/>
        <n v="3205"/>
        <n v="2809"/>
        <n v="2535"/>
        <n v="2433"/>
        <n v="2370"/>
        <n v="2345"/>
        <n v="2326"/>
        <n v="2171"/>
        <n v="2146"/>
        <n v="2106"/>
        <n v="2102"/>
        <n v="1919"/>
        <n v="1734"/>
        <n v="1571"/>
        <n v="383"/>
        <n v="373"/>
        <n v="202"/>
        <n v="150"/>
        <n v="111"/>
        <n v="108"/>
        <n v="99"/>
        <n v="95"/>
        <n v="82"/>
        <n v="76"/>
        <n v="74"/>
        <n v="65"/>
        <n v="62"/>
        <n v="60"/>
        <n v="56"/>
        <n v="48"/>
        <n v="47"/>
        <n v="45"/>
        <n v="44"/>
        <n v="40"/>
        <n v="414"/>
        <n v="264"/>
        <n v="171"/>
        <n v="161"/>
        <n v="137"/>
        <n v="116"/>
        <n v="92"/>
        <n v="86"/>
        <n v="79"/>
        <n v="61"/>
        <n v="57"/>
        <n v="54"/>
        <n v="51"/>
        <n v="42"/>
        <n v="212"/>
        <n v="123"/>
        <n v="106"/>
        <n v="78"/>
        <n v="75"/>
        <n v="66"/>
        <n v="55"/>
        <n v="46"/>
        <n v="41"/>
        <n v="27"/>
        <n v="25"/>
        <n v="24"/>
        <n v="23"/>
        <n v="22"/>
        <n v="21"/>
        <n v="16"/>
        <n v="543"/>
        <n v="530"/>
        <n v="511"/>
        <n v="272"/>
        <n v="253"/>
        <n v="234"/>
        <n v="227"/>
        <n v="221"/>
        <n v="215"/>
        <n v="186"/>
        <n v="169"/>
        <n v="154"/>
        <n v="149"/>
        <n v="139"/>
        <n v="132"/>
        <n v="115"/>
        <n v="112"/>
        <n v="101"/>
        <n v="100"/>
        <n v="298"/>
        <n v="160"/>
        <n v="155"/>
        <n v="109"/>
        <n v="96"/>
        <n v="72"/>
        <n v="53"/>
        <n v="50"/>
        <n v="49"/>
        <n v="38"/>
        <n v="36"/>
        <n v="35"/>
        <n v="255"/>
        <n v="144"/>
        <n v="103"/>
        <n v="87"/>
        <n v="85"/>
        <n v="52"/>
        <n v="43"/>
        <n v="39"/>
        <n v="37"/>
        <n v="34"/>
        <n v="31"/>
        <n v="392"/>
        <n v="326"/>
        <n v="302"/>
        <n v="183"/>
        <n v="158"/>
        <n v="122"/>
        <n v="121"/>
        <n v="98"/>
        <n v="93"/>
        <n v="90"/>
        <n v="89"/>
        <n v="68"/>
        <n v="361"/>
        <n v="357"/>
        <n v="125"/>
        <n v="117"/>
        <n v="105"/>
        <n v="102"/>
        <n v="235"/>
        <n v="184"/>
        <n v="168"/>
        <n v="148"/>
        <n v="88"/>
        <n v="83"/>
        <n v="71"/>
        <n v="70"/>
        <n v="64"/>
        <n v="32"/>
        <n v="534"/>
        <n v="403"/>
        <n v="289"/>
        <n v="147"/>
        <n v="146"/>
        <n v="135"/>
        <n v="134"/>
        <n v="126"/>
        <n v="91"/>
        <n v="328"/>
        <n v="287"/>
        <n v="172"/>
        <n v="157"/>
        <n v="133"/>
        <n v="130"/>
        <n v="107"/>
        <n v="73"/>
        <n v="59"/>
        <n v="488"/>
        <n v="467"/>
        <n v="342"/>
        <n v="291"/>
        <n v="252"/>
        <n v="246"/>
        <n v="119"/>
        <n v="104"/>
        <n v="94"/>
        <n v="260"/>
        <n v="251"/>
        <n v="173"/>
        <n v="142"/>
        <n v="120"/>
        <n v="69"/>
        <n v="63"/>
        <n v="30"/>
        <n v="29"/>
        <n v="358"/>
        <n v="276"/>
        <n v="110"/>
        <n v="97"/>
        <n v="81"/>
        <n v="471"/>
        <n v="371"/>
        <n v="240"/>
        <n v="193"/>
        <n v="143"/>
        <n v="141"/>
        <n v="127"/>
        <n v="84"/>
        <n v="67"/>
        <n v="58"/>
        <n v="486"/>
        <n v="359"/>
        <n v="307"/>
        <n v="201"/>
        <n v="404"/>
        <n v="402"/>
        <n v="259"/>
        <n v="179"/>
        <n v="80"/>
        <n v="356"/>
        <n v="217"/>
        <n v="153"/>
        <n v="77"/>
        <n v="745"/>
        <n v="580"/>
        <n v="405"/>
        <n v="374"/>
        <n v="338"/>
        <n v="207"/>
        <n v="205"/>
        <n v="200"/>
        <n v="196"/>
        <n v="185"/>
        <n v="176"/>
        <n v="346"/>
        <n v="175"/>
        <n v="163"/>
        <n v="114"/>
        <n v="238"/>
        <n v="164"/>
        <n v="532"/>
        <n v="434"/>
        <n v="322"/>
        <n v="293"/>
        <n v="228"/>
        <n v="199"/>
        <n v="165"/>
        <n v="113"/>
        <n v="2394"/>
        <n v="2222"/>
        <n v="1120"/>
        <n v="596"/>
        <n v="520"/>
        <n v="478"/>
        <n v="380"/>
        <n v="324"/>
        <n v="299"/>
        <n v="288"/>
        <n v="281"/>
        <n v="239"/>
        <n v="2373"/>
        <n v="2047"/>
        <n v="1325"/>
        <n v="877"/>
        <n v="685"/>
        <n v="665"/>
        <n v="607"/>
        <n v="562"/>
        <n v="557"/>
        <n v="474"/>
        <n v="435"/>
        <n v="401"/>
        <n v="347"/>
        <n v="336"/>
        <n v="306"/>
        <n v="278"/>
        <n v="241"/>
        <n v="1610"/>
        <n v="1389"/>
        <n v="1380"/>
        <n v="814"/>
        <n v="785"/>
        <n v="673"/>
        <n v="616"/>
        <n v="614"/>
        <n v="499"/>
        <n v="496"/>
        <n v="440"/>
        <n v="438"/>
        <n v="316"/>
        <n v="243"/>
        <n v="216"/>
        <n v="604"/>
        <n v="325"/>
        <n v="286"/>
        <n v="188"/>
        <n v="178"/>
        <n v="131"/>
        <n v="213"/>
        <n v="204"/>
        <n v="159"/>
        <n v="124"/>
        <n v="145"/>
        <n v="28"/>
        <n v="19"/>
        <n v="18"/>
        <n v="15"/>
        <n v="13"/>
        <n v="245"/>
        <n v="206"/>
        <n v="136"/>
        <n v="129"/>
        <n v="33"/>
        <n v="274"/>
        <n v="263"/>
        <n v="162"/>
        <n v="20"/>
        <n v="14"/>
        <n v="469"/>
        <n v="379"/>
        <n v="355"/>
        <n v="256"/>
        <n v="190"/>
        <n v="118"/>
        <n v="1093"/>
        <n v="879"/>
        <n v="713"/>
        <n v="375"/>
        <n v="344"/>
        <n v="270"/>
        <n v="237"/>
        <n v="156"/>
        <n v="313"/>
        <n v="301"/>
        <n v="906"/>
        <n v="551"/>
        <n v="501"/>
        <n v="214"/>
        <n v="182"/>
        <n v="312"/>
        <n v="128"/>
        <n v="26"/>
        <n v="608"/>
        <n v="588"/>
        <n v="558"/>
        <n v="309"/>
        <n v="277"/>
        <n v="268"/>
        <n v="250"/>
        <n v="209"/>
        <n v="231"/>
        <n v="327"/>
        <n v="219"/>
        <n v="166"/>
        <n v="138"/>
        <n v="630"/>
        <n v="552"/>
        <n v="480"/>
        <n v="332"/>
        <n v="292"/>
        <n v="197"/>
        <n v="195"/>
        <n v="867"/>
        <n v="513"/>
        <n v="448"/>
        <n v="247"/>
        <n v="222"/>
        <n v="210"/>
        <n v="628"/>
        <n v="590"/>
        <n v="575"/>
        <n v="472"/>
        <n v="303"/>
        <n v="242"/>
        <n v="223"/>
        <n v="191"/>
        <n v="181"/>
        <n v="265"/>
        <n v="211"/>
        <n v="559"/>
        <n v="453"/>
        <n v="189"/>
        <n v="337"/>
        <n v="426"/>
        <n v="308"/>
        <n v="203"/>
        <n v="430"/>
        <n v="258"/>
        <n v="463"/>
        <n v="267"/>
        <n v="17"/>
        <n v="244"/>
        <n v="1396"/>
        <n v="1314"/>
        <n v="1146"/>
        <n v="946"/>
        <n v="524"/>
        <n v="484"/>
        <n v="482"/>
        <n v="477"/>
        <n v="366"/>
        <n v="350"/>
        <n v="285"/>
        <n v="275"/>
        <n v="11"/>
        <n v="10"/>
        <n v="12"/>
        <n v="9"/>
        <n v="8"/>
        <n v="7"/>
        <n v="6"/>
        <n v="5"/>
        <n v="4"/>
        <n v="3"/>
        <n v="2"/>
      </sharedItems>
    </cacheField>
    <cacheField name="構成比" numFmtId="0" sqlType="3">
      <sharedItems containsSemiMixedTypes="0" containsString="0" containsNumber="1" minValue="0.98" maxValue="18.739999999999998" count="634">
        <n v="11.26"/>
        <n v="11.02"/>
        <n v="7.36"/>
        <n v="5.0599999999999996"/>
        <n v="4.66"/>
        <n v="3.94"/>
        <n v="3.73"/>
        <n v="3.47"/>
        <n v="3.03"/>
        <n v="3.02"/>
        <n v="2.94"/>
        <n v="2.65"/>
        <n v="2.41"/>
        <n v="2.15"/>
        <n v="2.09"/>
        <n v="1.92"/>
        <n v="1.87"/>
        <n v="1.82"/>
        <n v="1.63"/>
        <n v="1.41"/>
        <n v="12.67"/>
        <n v="10.56"/>
        <n v="7.29"/>
        <n v="5.79"/>
        <n v="4.95"/>
        <n v="3.33"/>
        <n v="3.28"/>
        <n v="2.88"/>
        <n v="2.6"/>
        <n v="2.4900000000000002"/>
        <n v="2.4300000000000002"/>
        <n v="2.4"/>
        <n v="2.38"/>
        <n v="2.2200000000000002"/>
        <n v="2.2000000000000002"/>
        <n v="2.16"/>
        <n v="1.97"/>
        <n v="1.78"/>
        <n v="1.61"/>
        <n v="14.17"/>
        <n v="13.8"/>
        <n v="7.47"/>
        <n v="5.55"/>
        <n v="4.1100000000000003"/>
        <n v="4"/>
        <n v="3.66"/>
        <n v="3.51"/>
        <n v="2.81"/>
        <n v="2.74"/>
        <n v="2.29"/>
        <n v="2.0699999999999998"/>
        <n v="1.74"/>
        <n v="1.66"/>
        <n v="1.48"/>
        <n v="16.07"/>
        <n v="10.24"/>
        <n v="6.64"/>
        <n v="6.25"/>
        <n v="5.32"/>
        <n v="4.5"/>
        <n v="3.57"/>
        <n v="3.34"/>
        <n v="3.07"/>
        <n v="2.87"/>
        <n v="2.37"/>
        <n v="2.33"/>
        <n v="2.21"/>
        <n v="2.1"/>
        <n v="1.98"/>
        <n v="1.75"/>
        <n v="1.55"/>
        <n v="15.3"/>
        <n v="8.8699999999999992"/>
        <n v="7.65"/>
        <n v="5.63"/>
        <n v="5.41"/>
        <n v="4.76"/>
        <n v="3.97"/>
        <n v="3.32"/>
        <n v="2.96"/>
        <n v="1.95"/>
        <n v="1.8"/>
        <n v="1.73"/>
        <n v="1.59"/>
        <n v="1.52"/>
        <n v="1.1499999999999999"/>
        <n v="9.43"/>
        <n v="9.1999999999999993"/>
        <n v="4.72"/>
        <n v="4.3899999999999997"/>
        <n v="4.0599999999999996"/>
        <n v="3.84"/>
        <n v="3.23"/>
        <n v="2.93"/>
        <n v="2.67"/>
        <n v="2.59"/>
        <n v="2"/>
        <n v="1.94"/>
        <n v="1.84"/>
        <n v="13.46"/>
        <n v="7.63"/>
        <n v="7.23"/>
        <n v="7"/>
        <n v="5.56"/>
        <n v="4.92"/>
        <n v="4.34"/>
        <n v="4.16"/>
        <n v="3.25"/>
        <n v="2.57"/>
        <n v="2.39"/>
        <n v="2.2599999999999998"/>
        <n v="2.12"/>
        <n v="1.9"/>
        <n v="1.85"/>
        <n v="1.72"/>
        <n v="1.58"/>
        <n v="13.61"/>
        <n v="7.68"/>
        <n v="7.31"/>
        <n v="5.5"/>
        <n v="4.91"/>
        <n v="4.6399999999999997"/>
        <n v="4.54"/>
        <n v="3.26"/>
        <n v="2.99"/>
        <n v="2.77"/>
        <n v="2.08"/>
        <n v="1.81"/>
        <n v="1.65"/>
        <n v="1.44"/>
        <n v="1.33"/>
        <n v="12.63"/>
        <n v="10.51"/>
        <n v="9.73"/>
        <n v="5.9"/>
        <n v="5.09"/>
        <n v="3.96"/>
        <n v="3.93"/>
        <n v="3.9"/>
        <n v="3.71"/>
        <n v="3.16"/>
        <n v="3"/>
        <n v="2.9"/>
        <n v="2.19"/>
        <n v="1.64"/>
        <n v="1.45"/>
        <n v="1.42"/>
        <n v="1.19"/>
        <n v="13.65"/>
        <n v="13.5"/>
        <n v="6.47"/>
        <n v="4.7300000000000004"/>
        <n v="4.43"/>
        <n v="3.86"/>
        <n v="3.74"/>
        <n v="3.1"/>
        <n v="2.72"/>
        <n v="2.31"/>
        <n v="2.27"/>
        <n v="1.51"/>
        <n v="10.16"/>
        <n v="7.96"/>
        <n v="7.26"/>
        <n v="6.4"/>
        <n v="4.45"/>
        <n v="4.24"/>
        <n v="3.89"/>
        <n v="3.8"/>
        <n v="3.59"/>
        <n v="3.24"/>
        <n v="2.42"/>
        <n v="1.6"/>
        <n v="1.56"/>
        <n v="1.38"/>
        <n v="16.329999999999998"/>
        <n v="12.32"/>
        <n v="8.84"/>
        <n v="4.46"/>
        <n v="4.13"/>
        <n v="4.0999999999999996"/>
        <n v="3.85"/>
        <n v="3.3"/>
        <n v="2.78"/>
        <n v="2.63"/>
        <n v="2.3199999999999998"/>
        <n v="1.99"/>
        <n v="1.68"/>
        <n v="1.53"/>
        <n v="11.06"/>
        <n v="9.68"/>
        <n v="5.8"/>
        <n v="5.29"/>
        <n v="4.8600000000000003"/>
        <n v="4.4800000000000004"/>
        <n v="4.38"/>
        <n v="4.25"/>
        <n v="3.61"/>
        <n v="2.56"/>
        <n v="2.5299999999999998"/>
        <n v="2.46"/>
        <n v="10.57"/>
        <n v="10.11"/>
        <n v="7.41"/>
        <n v="6.3"/>
        <n v="5.46"/>
        <n v="5.33"/>
        <n v="3.4"/>
        <n v="2.58"/>
        <n v="2.25"/>
        <n v="2.06"/>
        <n v="2.04"/>
        <n v="1.93"/>
        <n v="1.91"/>
        <n v="12.43"/>
        <n v="12"/>
        <n v="8.27"/>
        <n v="6.79"/>
        <n v="5.74"/>
        <n v="5.1100000000000003"/>
        <n v="3.54"/>
        <n v="3.39"/>
        <n v="3.01"/>
        <n v="1.43"/>
        <n v="1.39"/>
        <n v="13.05"/>
        <n v="11.28"/>
        <n v="8.6999999999999993"/>
        <n v="5.07"/>
        <n v="3.12"/>
        <n v="3.06"/>
        <n v="2.5499999999999998"/>
        <n v="15.69"/>
        <n v="12.36"/>
        <n v="7.99"/>
        <n v="6.43"/>
        <n v="5.7"/>
        <n v="4.7"/>
        <n v="4.2300000000000004"/>
        <n v="3.63"/>
        <n v="2.8"/>
        <n v="2.23"/>
        <n v="1.4"/>
        <n v="1.2"/>
        <n v="1.17"/>
        <n v="1.1299999999999999"/>
        <n v="16.04"/>
        <n v="11.85"/>
        <n v="10.130000000000001"/>
        <n v="6.63"/>
        <n v="5.58"/>
        <n v="4.1900000000000004"/>
        <n v="3.5"/>
        <n v="3.04"/>
        <n v="2.48"/>
        <n v="2.0099999999999998"/>
        <n v="0.99"/>
        <n v="11.6"/>
        <n v="11.54"/>
        <n v="7.44"/>
        <n v="5.14"/>
        <n v="4.59"/>
        <n v="4.51"/>
        <n v="4.3099999999999996"/>
        <n v="3.42"/>
        <n v="2.73"/>
        <n v="2.2999999999999998"/>
        <n v="1.67"/>
        <n v="13.63"/>
        <n v="13.55"/>
        <n v="8.26"/>
        <n v="7.35"/>
        <n v="5.82"/>
        <n v="3.58"/>
        <n v="2.82"/>
        <n v="2.5099999999999998"/>
        <n v="1.79"/>
        <n v="1.37"/>
        <n v="11.7"/>
        <n v="9.11"/>
        <n v="6.36"/>
        <n v="5.87"/>
        <n v="5.31"/>
        <n v="3.22"/>
        <n v="3.14"/>
        <n v="3.08"/>
        <n v="2.76"/>
        <n v="2.68"/>
        <n v="2.34"/>
        <n v="1.62"/>
        <n v="16.239999999999998"/>
        <n v="8.2200000000000006"/>
        <n v="5.35"/>
        <n v="5.26"/>
        <n v="4.2699999999999996"/>
        <n v="3.19"/>
        <n v="2.86"/>
        <n v="1.83"/>
        <n v="1.69"/>
        <n v="1.46"/>
        <n v="9.75"/>
        <n v="9.06"/>
        <n v="7.91"/>
        <n v="6.72"/>
        <n v="6.02"/>
        <n v="4.18"/>
        <n v="3.65"/>
        <n v="2.91"/>
        <n v="2.83"/>
        <n v="2.0499999999999998"/>
        <n v="11.49"/>
        <n v="9.3699999999999992"/>
        <n v="6.95"/>
        <n v="6.33"/>
        <n v="4.3"/>
        <n v="3.78"/>
        <n v="3.56"/>
        <n v="3.35"/>
        <n v="2.44"/>
        <n v="17.91"/>
        <n v="16.62"/>
        <n v="8.3800000000000008"/>
        <n v="2.84"/>
        <n v="2.2400000000000002"/>
        <n v="1.5"/>
        <n v="14.95"/>
        <n v="12.9"/>
        <n v="8.35"/>
        <n v="5.53"/>
        <n v="4.32"/>
        <n v="3.83"/>
        <n v="1.88"/>
        <n v="1.26"/>
        <n v="10.74"/>
        <n v="9.27"/>
        <n v="9.2100000000000009"/>
        <n v="5.43"/>
        <n v="5.24"/>
        <n v="4.49"/>
        <n v="3.31"/>
        <n v="2.92"/>
        <n v="2.62"/>
        <n v="2.11"/>
        <n v="1.29"/>
        <n v="15.04"/>
        <n v="8.09"/>
        <n v="7.12"/>
        <n v="6.35"/>
        <n v="4.68"/>
        <n v="4.01"/>
        <n v="3.41"/>
        <n v="3.36"/>
        <n v="2.54"/>
        <n v="1.54"/>
        <n v="1.49"/>
        <n v="9.57"/>
        <n v="9.16"/>
        <n v="8.81"/>
        <n v="7.14"/>
        <n v="5.57"/>
        <n v="4.99"/>
        <n v="4.09"/>
        <n v="1.35"/>
        <n v="1.21"/>
        <n v="15.15"/>
        <n v="10.93"/>
        <n v="10.85"/>
        <n v="4.22"/>
        <n v="3.69"/>
        <n v="3.09"/>
        <n v="2.64"/>
        <n v="2.0299999999999998"/>
        <n v="1.36"/>
        <n v="0.98"/>
        <n v="10.029999999999999"/>
        <n v="8.61"/>
        <n v="5.68"/>
        <n v="5.39"/>
        <n v="4.26"/>
        <n v="3.64"/>
        <n v="2.17"/>
        <n v="8.23"/>
        <n v="7.2"/>
        <n v="6.86"/>
        <n v="4.8"/>
        <n v="3.98"/>
        <n v="2.95"/>
        <n v="2.4700000000000002"/>
        <n v="2.13"/>
        <n v="1.71"/>
        <n v="10.68"/>
        <n v="10.25"/>
        <n v="4.83"/>
        <n v="4.3600000000000003"/>
        <n v="3.7"/>
        <n v="1.25"/>
        <n v="16.2"/>
        <n v="7.6"/>
        <n v="7.4"/>
        <n v="5.4"/>
        <n v="5.0999999999999996"/>
        <n v="1.3"/>
        <n v="11.01"/>
        <n v="8.89"/>
        <n v="8.33"/>
        <n v="6.08"/>
        <n v="6.01"/>
        <n v="1.34"/>
        <n v="10.98"/>
        <n v="8.9"/>
        <n v="4.47"/>
        <n v="3.37"/>
        <n v="2.69"/>
        <n v="2.02"/>
        <n v="1.86"/>
        <n v="1.7"/>
        <n v="14.27"/>
        <n v="13.73"/>
        <n v="9.35"/>
        <n v="5.65"/>
        <n v="4.74"/>
        <n v="4.2"/>
        <n v="2.14"/>
        <n v="1.23"/>
        <n v="14.84"/>
        <n v="9.0299999999999994"/>
        <n v="8.2100000000000009"/>
        <n v="5.01"/>
        <n v="2.98"/>
        <n v="17"/>
        <n v="12.97"/>
        <n v="7.25"/>
        <n v="6.98"/>
        <n v="4.8499999999999996"/>
        <n v="3.87"/>
        <n v="3.49"/>
        <n v="3.11"/>
        <n v="2.1800000000000002"/>
        <n v="1.31"/>
        <n v="1.0900000000000001"/>
        <n v="11.56"/>
        <n v="11.18"/>
        <n v="10.61"/>
        <n v="5.27"/>
        <n v="4.75"/>
        <n v="3.38"/>
        <n v="3.21"/>
        <n v="1.18"/>
        <n v="1.05"/>
        <n v="9.39"/>
        <n v="6.31"/>
        <n v="5.03"/>
        <n v="4.67"/>
        <n v="2.36"/>
        <n v="8.73"/>
        <n v="4.63"/>
        <n v="4.1500000000000004"/>
        <n v="3.72"/>
        <n v="2.4500000000000002"/>
        <n v="11.89"/>
        <n v="10.42"/>
        <n v="6.27"/>
        <n v="5.51"/>
        <n v="5.23"/>
        <n v="5.17"/>
        <n v="3.68"/>
        <n v="17.809999999999999"/>
        <n v="10.54"/>
        <n v="4.5599999999999996"/>
        <n v="3.29"/>
        <n v="2.75"/>
        <n v="2.71"/>
        <n v="9.41"/>
        <n v="8.6199999999999992"/>
        <n v="7.08"/>
        <n v="4.33"/>
        <n v="1.96"/>
        <n v="1.77"/>
        <n v="1.57"/>
        <n v="8.15"/>
        <n v="6.49"/>
        <n v="6.41"/>
        <n v="6.34"/>
        <n v="4.5199999999999996"/>
        <n v="4.29"/>
        <n v="17.36"/>
        <n v="7.9"/>
        <n v="6.05"/>
        <n v="5.6"/>
        <n v="2.35"/>
        <n v="10.91"/>
        <n v="10.59"/>
        <n v="5.18"/>
        <n v="4.79"/>
        <n v="4.55"/>
        <n v="4.04"/>
        <n v="1.76"/>
        <n v="1.32"/>
        <n v="11.53"/>
        <n v="9.99"/>
        <n v="7.97"/>
        <n v="6.87"/>
        <n v="6.5"/>
        <n v="4.41"/>
        <n v="3.62"/>
        <n v="1.1000000000000001"/>
        <n v="12.05"/>
        <n v="9.8699999999999992"/>
        <n v="7.58"/>
        <n v="4.08"/>
        <n v="1.89"/>
        <n v="17.2"/>
        <n v="4.93"/>
        <n v="4.84"/>
        <n v="4.12"/>
        <n v="9.17"/>
        <n v="9.02"/>
        <n v="5.94"/>
        <n v="3.75"/>
        <n v="2.2799999999999998"/>
        <n v="18.739999999999998"/>
        <n v="8.19"/>
        <n v="7.89"/>
        <n v="3.92"/>
        <n v="3.27"/>
        <n v="11.27"/>
        <n v="9"/>
        <n v="8.7100000000000009"/>
        <n v="6.29"/>
        <n v="5.71"/>
        <n v="4.9000000000000004"/>
        <n v="3.88"/>
        <n v="3.15"/>
        <n v="2.85"/>
        <n v="11.8"/>
        <n v="7.59"/>
        <n v="3.52"/>
        <n v="15.21"/>
        <n v="8.77"/>
        <n v="4.07"/>
        <n v="2.66"/>
        <n v="1.22"/>
        <n v="13.3"/>
        <n v="5.98"/>
        <n v="5.04"/>
        <n v="3.17"/>
        <n v="10.95"/>
        <n v="9.5299999999999994"/>
        <n v="5.25"/>
        <n v="4.8099999999999996"/>
        <n v="14.77"/>
        <n v="13.74"/>
        <n v="8.5399999999999991"/>
        <n v="5.81"/>
        <n v="5.08"/>
        <n v="1.27"/>
        <n v="1.03"/>
        <n v="9.4700000000000006"/>
        <n v="8.91"/>
        <n v="7.77"/>
        <n v="6.42"/>
        <n v="3.79"/>
        <n v="3.55"/>
        <n v="3.2"/>
        <n v="8.8000000000000007"/>
        <n v="8.16"/>
        <n v="5.22"/>
        <n v="4.7699999999999996"/>
        <n v="4.03"/>
        <n v="1.47"/>
        <n v="1.28"/>
        <n v="18.07"/>
        <n v="10"/>
        <n v="9.74"/>
        <n v="5.88"/>
        <n v="3.77"/>
        <n v="3.6"/>
        <n v="1.1399999999999999"/>
        <n v="9.48"/>
        <n v="8.25"/>
        <n v="7.81"/>
        <n v="7.64"/>
        <n v="6.76"/>
        <n v="4.57"/>
        <n v="12.88"/>
        <n v="11.08"/>
        <n v="6.16"/>
        <n v="5.78"/>
        <n v="10.73"/>
        <n v="8.02"/>
        <n v="4.4400000000000004"/>
        <n v="1.08"/>
        <n v="7.8"/>
        <n v="7.51"/>
        <n v="6.07"/>
        <n v="5.2"/>
        <n v="3.18"/>
        <n v="2.89"/>
        <n v="1.1599999999999999"/>
        <n v="10.4"/>
        <n v="8.4"/>
        <n v="6"/>
        <n v="4.4000000000000004"/>
        <n v="11.35"/>
        <n v="8.65"/>
        <n v="7.03"/>
        <n v="5.95"/>
        <n v="9.6199999999999992"/>
        <n v="6.12"/>
        <n v="5.83"/>
        <n v="4.96"/>
        <n v="10.99"/>
        <n v="9.2899999999999991"/>
        <n v="8.1199999999999992"/>
        <n v="6.81"/>
        <n v="6.28"/>
        <n v="5.89"/>
        <n v="4.58"/>
        <n v="3.53"/>
        <n v="11.52"/>
        <n v="10.3"/>
        <n v="7.27"/>
        <n v="6.67"/>
        <n v="5.45"/>
        <n v="9.6999999999999993"/>
        <n v="9.2799999999999994"/>
        <n v="6.75"/>
        <n v="13.56"/>
        <n v="5.93"/>
        <n v="3.81"/>
        <n v="7.38"/>
        <n v="5.54"/>
        <n v="15.97"/>
        <n v="10.08"/>
        <n v="2.52"/>
      </sharedItems>
    </cacheField>
    <cacheField name="総数（個人）" numFmtId="0" sqlType="4">
      <sharedItems containsSemiMixedTypes="0" containsString="0" containsNumber="1" containsInteger="1" minValue="0" maxValue="21681" count="306">
        <n v="21681"/>
        <n v="7523"/>
        <n v="13575"/>
        <n v="6500"/>
        <n v="6201"/>
        <n v="1529"/>
        <n v="6885"/>
        <n v="5592"/>
        <n v="4512"/>
        <n v="1218"/>
        <n v="1613"/>
        <n v="2353"/>
        <n v="2653"/>
        <n v="2841"/>
        <n v="719"/>
        <n v="715"/>
        <n v="439"/>
        <n v="1488"/>
        <n v="620"/>
        <n v="41"/>
        <n v="10489"/>
        <n v="3264"/>
        <n v="4453"/>
        <n v="4578"/>
        <n v="2669"/>
        <n v="2709"/>
        <n v="2283"/>
        <n v="1222"/>
        <n v="365"/>
        <n v="360"/>
        <n v="336"/>
        <n v="288"/>
        <n v="216"/>
        <n v="770"/>
        <n v="422"/>
        <n v="886"/>
        <n v="1265"/>
        <n v="268"/>
        <n v="158"/>
        <n v="254"/>
        <n v="315"/>
        <n v="134"/>
        <n v="144"/>
        <n v="94"/>
        <n v="93"/>
        <n v="68"/>
        <n v="11"/>
        <n v="52"/>
        <n v="46"/>
        <n v="15"/>
        <n v="8"/>
        <n v="28"/>
        <n v="6"/>
        <n v="20"/>
        <n v="9"/>
        <n v="16"/>
        <n v="0"/>
        <n v="25"/>
        <n v="23"/>
        <n v="342"/>
        <n v="92"/>
        <n v="125"/>
        <n v="73"/>
        <n v="61"/>
        <n v="79"/>
        <n v="12"/>
        <n v="45"/>
        <n v="7"/>
        <n v="1"/>
        <n v="21"/>
        <n v="5"/>
        <n v="189"/>
        <n v="71"/>
        <n v="65"/>
        <n v="50"/>
        <n v="10"/>
        <n v="13"/>
        <n v="14"/>
        <n v="37"/>
        <n v="32"/>
        <n v="22"/>
        <n v="17"/>
        <n v="2"/>
        <n v="4"/>
        <n v="452"/>
        <n v="257"/>
        <n v="55"/>
        <n v="120"/>
        <n v="167"/>
        <n v="80"/>
        <n v="81"/>
        <n v="48"/>
        <n v="90"/>
        <n v="63"/>
        <n v="271"/>
        <n v="74"/>
        <n v="142"/>
        <n v="88"/>
        <n v="78"/>
        <n v="89"/>
        <n v="24"/>
        <n v="60"/>
        <n v="34"/>
        <n v="30"/>
        <n v="19"/>
        <n v="3"/>
        <n v="236"/>
        <n v="70"/>
        <n v="75"/>
        <n v="18"/>
        <n v="108"/>
        <n v="277"/>
        <n v="208"/>
        <n v="98"/>
        <n v="102"/>
        <n v="27"/>
        <n v="53"/>
        <n v="87"/>
        <n v="296"/>
        <n v="82"/>
        <n v="29"/>
        <n v="77"/>
        <n v="47"/>
        <n v="219"/>
        <n v="51"/>
        <n v="129"/>
        <n v="56"/>
        <n v="36"/>
        <n v="370"/>
        <n v="255"/>
        <n v="85"/>
        <n v="301"/>
        <n v="95"/>
        <n v="100"/>
        <n v="42"/>
        <n v="106"/>
        <n v="44"/>
        <n v="109"/>
        <n v="33"/>
        <n v="448"/>
        <n v="213"/>
        <n v="198"/>
        <n v="259"/>
        <n v="194"/>
        <n v="204"/>
        <n v="139"/>
        <n v="69"/>
        <n v="43"/>
        <n v="35"/>
        <n v="62"/>
        <n v="244"/>
        <n v="141"/>
        <n v="154"/>
        <n v="103"/>
        <n v="39"/>
        <n v="26"/>
        <n v="193"/>
        <n v="331"/>
        <n v="231"/>
        <n v="115"/>
        <n v="127"/>
        <n v="86"/>
        <n v="168"/>
        <n v="328"/>
        <n v="197"/>
        <n v="96"/>
        <n v="145"/>
        <n v="97"/>
        <n v="67"/>
        <n v="200"/>
        <n v="326"/>
        <n v="269"/>
        <n v="123"/>
        <n v="146"/>
        <n v="386"/>
        <n v="232"/>
        <n v="119"/>
        <n v="128"/>
        <n v="131"/>
        <n v="330"/>
        <n v="195"/>
        <n v="644"/>
        <n v="184"/>
        <n v="282"/>
        <n v="147"/>
        <n v="173"/>
        <n v="124"/>
        <n v="49"/>
        <n v="137"/>
        <n v="149"/>
        <n v="64"/>
        <n v="58"/>
        <n v="217"/>
        <n v="166"/>
        <n v="101"/>
        <n v="111"/>
        <n v="410"/>
        <n v="148"/>
        <n v="31"/>
        <n v="57"/>
        <n v="38"/>
        <n v="54"/>
        <n v="1815"/>
        <n v="1531"/>
        <n v="246"/>
        <n v="314"/>
        <n v="140"/>
        <n v="240"/>
        <n v="40"/>
        <n v="1493"/>
        <n v="1593"/>
        <n v="230"/>
        <n v="383"/>
        <n v="262"/>
        <n v="1469"/>
        <n v="359"/>
        <n v="1196"/>
        <n v="132"/>
        <n v="474"/>
        <n v="574"/>
        <n v="114"/>
        <n v="366"/>
        <n v="369"/>
        <n v="260"/>
        <n v="265"/>
        <n v="66"/>
        <n v="91"/>
        <n v="549"/>
        <n v="153"/>
        <n v="133"/>
        <n v="183"/>
        <n v="76"/>
        <n v="182"/>
        <n v="223"/>
        <n v="214"/>
        <n v="59"/>
        <n v="83"/>
        <n v="118"/>
        <n v="428"/>
        <n v="112"/>
        <n v="318"/>
        <n v="788"/>
        <n v="587"/>
        <n v="218"/>
        <n v="309"/>
        <n v="192"/>
        <n v="122"/>
        <n v="279"/>
        <n v="171"/>
        <n v="468"/>
        <n v="390"/>
        <n v="162"/>
        <n v="238"/>
        <n v="155"/>
        <n v="226"/>
        <n v="514"/>
        <n v="513"/>
        <n v="156"/>
        <n v="165"/>
        <n v="130"/>
        <n v="99"/>
        <n v="170"/>
        <n v="143"/>
        <n v="409"/>
        <n v="105"/>
        <n v="151"/>
        <n v="530"/>
        <n v="492"/>
        <n v="152"/>
        <n v="150"/>
        <n v="116"/>
        <n v="72"/>
        <n v="316"/>
        <n v="456"/>
        <n v="378"/>
        <n v="185"/>
        <n v="554"/>
        <n v="263"/>
        <n v="395"/>
        <n v="196"/>
        <n v="205"/>
        <n v="172"/>
        <n v="235"/>
        <n v="178"/>
        <n v="511"/>
        <n v="397"/>
        <n v="138"/>
        <n v="258"/>
        <n v="199"/>
        <n v="225"/>
        <n v="210"/>
        <n v="157"/>
        <n v="289"/>
        <n v="272"/>
        <n v="110"/>
        <n v="441"/>
        <n v="163"/>
        <n v="104"/>
        <n v="206"/>
        <n v="264"/>
        <n v="1233"/>
        <n v="834"/>
        <n v="426"/>
        <n v="384"/>
        <n v="274"/>
        <n v="136"/>
      </sharedItems>
    </cacheField>
    <cacheField name="構成比（個人）" numFmtId="0" sqlType="3">
      <sharedItems containsSemiMixedTypes="0" containsString="0" containsNumber="1" minValue="0" maxValue="34.409999999999997" count="740">
        <n v="21.02"/>
        <n v="7.29"/>
        <n v="13.16"/>
        <n v="6.3"/>
        <n v="6.01"/>
        <n v="1.48"/>
        <n v="6.67"/>
        <n v="5.42"/>
        <n v="4.37"/>
        <n v="1.18"/>
        <n v="1.56"/>
        <n v="2.2799999999999998"/>
        <n v="2.57"/>
        <n v="2.75"/>
        <n v="0.7"/>
        <n v="0.69"/>
        <n v="0.43"/>
        <n v="1.44"/>
        <n v="0.6"/>
        <n v="0.04"/>
        <n v="24.32"/>
        <n v="7.57"/>
        <n v="10.32"/>
        <n v="10.61"/>
        <n v="6.19"/>
        <n v="6.28"/>
        <n v="5.29"/>
        <n v="2.83"/>
        <n v="0.85"/>
        <n v="0.83"/>
        <n v="0.78"/>
        <n v="0.67"/>
        <n v="0.5"/>
        <n v="1.79"/>
        <n v="0.98"/>
        <n v="2.0499999999999998"/>
        <n v="2.93"/>
        <n v="0.62"/>
        <n v="0.37"/>
        <n v="0.59"/>
        <n v="25.38"/>
        <n v="10.8"/>
        <n v="11.6"/>
        <n v="7.49"/>
        <n v="5.48"/>
        <n v="0.89"/>
        <n v="4.1900000000000004"/>
        <n v="3.71"/>
        <n v="1.21"/>
        <n v="0.64"/>
        <n v="2.2599999999999998"/>
        <n v="0.48"/>
        <n v="1.61"/>
        <n v="0.73"/>
        <n v="1.29"/>
        <n v="0"/>
        <n v="2.0099999999999998"/>
        <n v="1.85"/>
        <n v="31.55"/>
        <n v="8.49"/>
        <n v="2.12"/>
        <n v="11.53"/>
        <n v="6.73"/>
        <n v="5.63"/>
        <n v="1.1100000000000001"/>
        <n v="4.1500000000000004"/>
        <n v="4.24"/>
        <n v="0.55000000000000004"/>
        <n v="0.65"/>
        <n v="0.74"/>
        <n v="0.09"/>
        <n v="2.31"/>
        <n v="1.94"/>
        <n v="0.46"/>
        <n v="26.25"/>
        <n v="9.86"/>
        <n v="12.78"/>
        <n v="9.0299999999999994"/>
        <n v="6.94"/>
        <n v="1.39"/>
        <n v="1.81"/>
        <n v="5.14"/>
        <n v="4.4400000000000004"/>
        <n v="3.06"/>
        <n v="2.36"/>
        <n v="0.28000000000000003"/>
        <n v="0.14000000000000001"/>
        <n v="0.56000000000000005"/>
        <n v="26.07"/>
        <n v="14.82"/>
        <n v="3.17"/>
        <n v="6.92"/>
        <n v="0.81"/>
        <n v="0.75"/>
        <n v="1.1499999999999999"/>
        <n v="9.6300000000000008"/>
        <n v="4.6100000000000003"/>
        <n v="4.67"/>
        <n v="0.28999999999999998"/>
        <n v="0.63"/>
        <n v="2.77"/>
        <n v="0.12"/>
        <n v="0.4"/>
        <n v="5.19"/>
        <n v="3.63"/>
        <n v="23.32"/>
        <n v="6.37"/>
        <n v="12.22"/>
        <n v="6.71"/>
        <n v="7.66"/>
        <n v="2.0699999999999998"/>
        <n v="5.16"/>
        <n v="1.38"/>
        <n v="3.53"/>
        <n v="0.95"/>
        <n v="2.58"/>
        <n v="1.64"/>
        <n v="0.26"/>
        <n v="1.03"/>
        <n v="24.76"/>
        <n v="6.4"/>
        <n v="12.59"/>
        <n v="7.35"/>
        <n v="7.87"/>
        <n v="3.36"/>
        <n v="1.05"/>
        <n v="1.26"/>
        <n v="1.36"/>
        <n v="4.83"/>
        <n v="3.88"/>
        <n v="2.52"/>
        <n v="0.94"/>
        <n v="0.42"/>
        <n v="1.89"/>
        <n v="8.35"/>
        <n v="21.42"/>
        <n v="16.09"/>
        <n v="7.58"/>
        <n v="7.89"/>
        <n v="1.24"/>
        <n v="4.87"/>
        <n v="2.09"/>
        <n v="2.86"/>
        <n v="4.0999999999999996"/>
        <n v="1.62"/>
        <n v="0.39"/>
        <n v="0.77"/>
        <n v="0.93"/>
        <n v="28.41"/>
        <n v="2.78"/>
        <n v="4.8"/>
        <n v="5.28"/>
        <n v="7.39"/>
        <n v="1.54"/>
        <n v="3.26"/>
        <n v="1.25"/>
        <n v="1.92"/>
        <n v="4.51"/>
        <n v="0.38"/>
        <n v="0.1"/>
        <n v="0.19"/>
        <n v="21.75"/>
        <n v="6.45"/>
        <n v="5.0599999999999996"/>
        <n v="12.81"/>
        <n v="5.56"/>
        <n v="1.69"/>
        <n v="6.26"/>
        <n v="3.18"/>
        <n v="1.19"/>
        <n v="3.57"/>
        <n v="15.73"/>
        <n v="22.91"/>
        <n v="15.79"/>
        <n v="1.55"/>
        <n v="7.74"/>
        <n v="1.49"/>
        <n v="5.26"/>
        <n v="3.28"/>
        <n v="3.78"/>
        <n v="0.68"/>
        <n v="1.8"/>
        <n v="1.42"/>
        <n v="0.25"/>
        <n v="1.67"/>
        <n v="19.47"/>
        <n v="6.14"/>
        <n v="9.18"/>
        <n v="6.47"/>
        <n v="2.72"/>
        <n v="6.86"/>
        <n v="2.85"/>
        <n v="7.05"/>
        <n v="5.95"/>
        <n v="1.1000000000000001"/>
        <n v="1.1599999999999999"/>
        <n v="2.2000000000000002"/>
        <n v="2.13"/>
        <n v="0.84"/>
        <n v="1.23"/>
        <n v="15.91"/>
        <n v="7.03"/>
        <n v="9.1999999999999993"/>
        <n v="6.89"/>
        <n v="7.25"/>
        <n v="4.9400000000000004"/>
        <n v="2.4900000000000002"/>
        <n v="1.88"/>
        <n v="0.99"/>
        <n v="3.02"/>
        <n v="2.4500000000000002"/>
        <n v="1.53"/>
        <n v="1.6"/>
        <n v="19.920000000000002"/>
        <n v="11.51"/>
        <n v="12.57"/>
        <n v="8.41"/>
        <n v="7.76"/>
        <n v="8"/>
        <n v="0.9"/>
        <n v="2.94"/>
        <n v="1.22"/>
        <n v="2.04"/>
        <n v="2.69"/>
        <n v="0.82"/>
        <n v="1.1399999999999999"/>
        <n v="0.16"/>
        <n v="0.49"/>
        <n v="1.31"/>
        <n v="19.89"/>
        <n v="13.88"/>
        <n v="6.91"/>
        <n v="7.63"/>
        <n v="2.46"/>
        <n v="5.17"/>
        <n v="2.88"/>
        <n v="3.61"/>
        <n v="2.1"/>
        <n v="0.72"/>
        <n v="2.34"/>
        <n v="0.18"/>
        <n v="1.68"/>
        <n v="1.02"/>
        <n v="0.54"/>
        <n v="11.17"/>
        <n v="21.81"/>
        <n v="13.1"/>
        <n v="6.38"/>
        <n v="9.64"/>
        <n v="5.32"/>
        <n v="4.45"/>
        <n v="1"/>
        <n v="0.86"/>
        <n v="1.1299999999999999"/>
        <n v="0.47"/>
        <n v="0.53"/>
        <n v="11.87"/>
        <n v="19.350000000000001"/>
        <n v="15.96"/>
        <n v="9.9700000000000006"/>
        <n v="7.3"/>
        <n v="5.7"/>
        <n v="1.78"/>
        <n v="1.07"/>
        <n v="2.61"/>
        <n v="0.71"/>
        <n v="0.3"/>
        <n v="7.82"/>
        <n v="20.66"/>
        <n v="12.42"/>
        <n v="6.85"/>
        <n v="7.01"/>
        <n v="1.98"/>
        <n v="1.71"/>
        <n v="1.1200000000000001"/>
        <n v="4.12"/>
        <n v="3.96"/>
        <n v="1.77"/>
        <n v="2.25"/>
        <n v="0.91"/>
        <n v="21.36"/>
        <n v="12.82"/>
        <n v="12.62"/>
        <n v="8.2799999999999994"/>
        <n v="8.09"/>
        <n v="5.5"/>
        <n v="4.53"/>
        <n v="0.97"/>
        <n v="2.39"/>
        <n v="2.33"/>
        <n v="0.52"/>
        <n v="26.62"/>
        <n v="7.61"/>
        <n v="9.76"/>
        <n v="11.66"/>
        <n v="6.08"/>
        <n v="7.15"/>
        <n v="5.13"/>
        <n v="2.0299999999999998"/>
        <n v="0.33"/>
        <n v="0.66"/>
        <n v="1.86"/>
        <n v="3.35"/>
        <n v="0.41"/>
        <n v="14.39"/>
        <n v="15.44"/>
        <n v="15.65"/>
        <n v="6.72"/>
        <n v="1.47"/>
        <n v="6.51"/>
        <n v="6.09"/>
        <n v="1.58"/>
        <n v="4.41"/>
        <n v="2.42"/>
        <n v="1.37"/>
        <n v="18.940000000000001"/>
        <n v="6.98"/>
        <n v="14.49"/>
        <n v="8.81"/>
        <n v="10.73"/>
        <n v="1.66"/>
        <n v="3.4"/>
        <n v="0.17"/>
        <n v="1.75"/>
        <n v="0.61"/>
        <n v="4.92"/>
        <n v="18.18"/>
        <n v="11.26"/>
        <n v="6.61"/>
        <n v="7.67"/>
        <n v="6.56"/>
        <n v="2.35"/>
        <n v="3.24"/>
        <n v="1.46"/>
        <n v="2.5299999999999998"/>
        <n v="34.409999999999997"/>
        <n v="29.02"/>
        <n v="4.66"/>
        <n v="2.65"/>
        <n v="4.55"/>
        <n v="0.51"/>
        <n v="1.93"/>
        <n v="0.76"/>
        <n v="0.27"/>
        <n v="27.73"/>
        <n v="29.59"/>
        <n v="2.64"/>
        <n v="2.62"/>
        <n v="4.2699999999999996"/>
        <n v="3.12"/>
        <n v="7.11"/>
        <n v="0.32"/>
        <n v="0.11"/>
        <n v="2.6"/>
        <n v="2.4300000000000002"/>
        <n v="0.35"/>
        <n v="19.989999999999998"/>
        <n v="4.8899999999999997"/>
        <n v="16.28"/>
        <n v="7.81"/>
        <n v="4.9800000000000004"/>
        <n v="5.0199999999999996"/>
        <n v="3.54"/>
        <n v="2.29"/>
        <n v="0.44"/>
        <n v="27.08"/>
        <n v="13.67"/>
        <n v="7.55"/>
        <n v="5.62"/>
        <n v="4.74"/>
        <n v="1.0900000000000001"/>
        <n v="1.33"/>
        <n v="17.61"/>
        <n v="16.11"/>
        <n v="5.1100000000000003"/>
        <n v="2.11"/>
        <n v="6.69"/>
        <n v="4.75"/>
        <n v="6.87"/>
        <n v="4.4000000000000004"/>
        <n v="3.87"/>
        <n v="0.88"/>
        <n v="22.44"/>
        <n v="7.4"/>
        <n v="17.39"/>
        <n v="9.3699999999999992"/>
        <n v="6.54"/>
        <n v="5.92"/>
        <n v="5.3"/>
        <n v="2.84"/>
        <n v="1.73"/>
        <n v="2.59"/>
        <n v="19.03"/>
        <n v="18.260000000000002"/>
        <n v="5.03"/>
        <n v="2.82"/>
        <n v="7.08"/>
        <n v="4.8600000000000003"/>
        <n v="5.89"/>
        <n v="5.46"/>
        <n v="2.4700000000000002"/>
        <n v="1.45"/>
        <n v="2.87"/>
        <n v="13.08"/>
        <n v="12.92"/>
        <n v="1.91"/>
        <n v="8.93"/>
        <n v="6.22"/>
        <n v="3.03"/>
        <n v="4.3099999999999996"/>
        <n v="4.63"/>
        <n v="2.71"/>
        <n v="0.8"/>
        <n v="19.27"/>
        <n v="19.93"/>
        <n v="9.8000000000000007"/>
        <n v="1.5"/>
        <n v="5.07"/>
        <n v="5.73"/>
        <n v="3.49"/>
        <n v="3.9"/>
        <n v="4.9000000000000004"/>
        <n v="2.2400000000000002"/>
        <n v="0.08"/>
        <n v="1.08"/>
        <n v="0.57999999999999996"/>
        <n v="24.05"/>
        <n v="2.97"/>
        <n v="9.4600000000000009"/>
        <n v="3.51"/>
        <n v="1.35"/>
        <n v="18.739999999999998"/>
        <n v="13.92"/>
        <n v="7.31"/>
        <n v="6.35"/>
        <n v="6.39"/>
        <n v="2.06"/>
        <n v="3.72"/>
        <n v="2.5"/>
        <n v="2.3199999999999998"/>
        <n v="1.97"/>
        <n v="5.74"/>
        <n v="21.74"/>
        <n v="16.190000000000001"/>
        <n v="8.52"/>
        <n v="5.96"/>
        <n v="3.37"/>
        <n v="0.03"/>
        <n v="24.67"/>
        <n v="9.11"/>
        <n v="15.12"/>
        <n v="7.96"/>
        <n v="5.84"/>
        <n v="4.42"/>
        <n v="2.56"/>
        <n v="1.06"/>
        <n v="3.27"/>
        <n v="1.41"/>
        <n v="20.59"/>
        <n v="17.16"/>
        <n v="7.13"/>
        <n v="10.47"/>
        <n v="5.76"/>
        <n v="6.16"/>
        <n v="6.82"/>
        <n v="0.31"/>
        <n v="2.5099999999999998"/>
        <n v="2.5499999999999998"/>
        <n v="0.22"/>
        <n v="15.37"/>
        <n v="20.93"/>
        <n v="10.65"/>
        <n v="7.04"/>
        <n v="5.65"/>
        <n v="5.09"/>
        <n v="1.57"/>
        <n v="4.17"/>
        <n v="1.3"/>
        <n v="2.96"/>
        <n v="1.2"/>
        <n v="20.32"/>
        <n v="20.28"/>
        <n v="2.02"/>
        <n v="6.17"/>
        <n v="8.66"/>
        <n v="6.52"/>
        <n v="3.91"/>
        <n v="0.79"/>
        <n v="0.2"/>
        <n v="12.19"/>
        <n v="14.91"/>
        <n v="12.54"/>
        <n v="4.91"/>
        <n v="7.02"/>
        <n v="2.98"/>
        <n v="4.82"/>
        <n v="1.32"/>
        <n v="3.86"/>
        <n v="3.25"/>
        <n v="2.37"/>
        <n v="21.26"/>
        <n v="14.97"/>
        <n v="7.85"/>
        <n v="1.72"/>
        <n v="2.1800000000000002"/>
        <n v="5.98"/>
        <n v="3.22"/>
        <n v="1.87"/>
        <n v="2.91"/>
        <n v="2.23"/>
        <n v="2.44"/>
        <n v="20.11"/>
        <n v="18.66"/>
        <n v="5.77"/>
        <n v="8.9499999999999993"/>
        <n v="7.51"/>
        <n v="5.69"/>
        <n v="4.32"/>
        <n v="2.73"/>
        <n v="1.52"/>
        <n v="0.56999999999999995"/>
        <n v="14.29"/>
        <n v="20.62"/>
        <n v="17.100000000000001"/>
        <n v="5.2"/>
        <n v="8.3699999999999992"/>
        <n v="4.3899999999999997"/>
        <n v="1.99"/>
        <n v="0.23"/>
        <n v="16.420000000000002"/>
        <n v="7.8"/>
        <n v="11.71"/>
        <n v="5.81"/>
        <n v="5.0999999999999996"/>
        <n v="4.68"/>
        <n v="1.63"/>
        <n v="1.27"/>
        <n v="1.84"/>
        <n v="17.79"/>
        <n v="13.47"/>
        <n v="3.1"/>
        <n v="7.19"/>
        <n v="6.66"/>
        <n v="3.94"/>
        <n v="4.62"/>
        <n v="3.79"/>
        <n v="1.51"/>
        <n v="0.45"/>
        <n v="19.07"/>
        <n v="12.74"/>
        <n v="12.09"/>
        <n v="6.79"/>
        <n v="5.86"/>
        <n v="4.84"/>
        <n v="3.44"/>
        <n v="23.13"/>
        <n v="7.56"/>
        <n v="17.97"/>
        <n v="6.25"/>
        <n v="5.79"/>
        <n v="6.29"/>
        <n v="4.57"/>
        <n v="9.7200000000000006"/>
        <n v="15.47"/>
        <n v="13.7"/>
        <n v="8.18"/>
        <n v="7.73"/>
        <n v="6.41"/>
        <n v="4.09"/>
        <n v="3.2"/>
        <n v="9.1199999999999992"/>
        <n v="17.559999999999999"/>
        <n v="13.55"/>
        <n v="3.13"/>
        <n v="3.68"/>
        <n v="19.02"/>
        <n v="17.75"/>
        <n v="13.27"/>
        <n v="6"/>
        <n v="5.33"/>
        <n v="4.0599999999999996"/>
        <n v="3.38"/>
        <n v="2.54"/>
        <n v="0.34"/>
        <n v="7.48"/>
        <n v="15.02"/>
        <n v="14.14"/>
        <n v="6.44"/>
        <n v="5.61"/>
        <n v="6.34"/>
        <n v="4.21"/>
        <n v="4.99"/>
        <n v="2.7"/>
        <n v="0.05"/>
        <n v="9.65"/>
        <n v="17.59"/>
        <n v="16.8"/>
        <n v="1.82"/>
        <n v="6.81"/>
        <n v="2.27"/>
        <n v="3.52"/>
        <n v="5.9"/>
        <n v="1.59"/>
        <n v="3.97"/>
        <n v="8.58"/>
        <n v="15.19"/>
        <n v="14.21"/>
        <n v="8.02"/>
        <n v="7.45"/>
        <n v="6.33"/>
        <n v="4.08"/>
        <n v="9.83"/>
        <n v="13.85"/>
        <n v="12.6"/>
        <n v="3.75"/>
        <n v="4.0199999999999996"/>
        <n v="1.43"/>
        <n v="2.14"/>
        <n v="28.58"/>
        <n v="2.79"/>
        <n v="15.23"/>
        <n v="6.42"/>
        <n v="6.03"/>
        <n v="2.92"/>
        <n v="4.93"/>
        <n v="3.43"/>
        <n v="0.06"/>
        <n v="1.17"/>
        <n v="4.29"/>
        <n v="18.91"/>
        <n v="14.15"/>
        <n v="5.22"/>
        <n v="4.76"/>
        <n v="3.83"/>
        <n v="6.15"/>
        <n v="3.6"/>
        <n v="17.600000000000001"/>
        <n v="17.940000000000001"/>
        <n v="6.6"/>
        <n v="8.2899999999999991"/>
        <n v="5.58"/>
        <n v="7.78"/>
        <n v="11.49"/>
        <n v="21.33"/>
        <n v="12.73"/>
        <n v="6.11"/>
        <n v="5.8"/>
        <n v="2.9"/>
        <n v="2.17"/>
        <n v="0.21"/>
        <n v="3.73"/>
        <n v="17.43"/>
        <n v="11.79"/>
        <n v="6.02"/>
        <n v="3.01"/>
        <n v="5.43"/>
        <n v="5.51"/>
        <n v="2.19"/>
        <n v="2.67"/>
        <n v="9.8699999999999992"/>
        <n v="14.24"/>
        <n v="13.11"/>
        <n v="4.6900000000000004"/>
        <n v="5.18"/>
        <n v="5.66"/>
        <n v="21.62"/>
        <n v="17.809999999999999"/>
        <n v="15.26"/>
        <n v="5.41"/>
        <n v="15.87"/>
        <n v="10.74"/>
        <n v="3.14"/>
        <n v="9.09"/>
        <n v="4.3"/>
        <n v="4.46"/>
        <n v="3.31"/>
        <n v="2.15"/>
        <n v="8.99"/>
        <n v="16.05"/>
        <n v="15.17"/>
        <n v="3"/>
        <n v="6.7"/>
        <n v="8.11"/>
        <n v="9.17"/>
        <n v="15.33"/>
        <n v="8.1999999999999993"/>
        <n v="8.3800000000000008"/>
        <n v="12.12"/>
        <n v="6.77"/>
        <n v="1.96"/>
        <n v="0.36"/>
        <n v="19.079999999999998"/>
        <n v="12.72"/>
        <n v="13.87"/>
        <n v="3.47"/>
        <n v="2.89"/>
        <n v="15.83"/>
        <n v="10.83"/>
        <n v="5"/>
        <n v="5.83"/>
        <n v="3.33"/>
        <n v="7.5"/>
        <n v="8.65"/>
        <n v="11.54"/>
        <n v="10.58"/>
        <n v="9.6199999999999992"/>
        <n v="4.8099999999999996"/>
        <n v="3.85"/>
        <n v="0.96"/>
        <n v="8.94"/>
        <n v="17.88"/>
        <n v="12.85"/>
        <n v="4.47"/>
        <n v="9.77"/>
        <n v="14.01"/>
        <n v="12.53"/>
        <n v="6.58"/>
        <n v="2.76"/>
        <n v="3.82"/>
        <n v="4.25"/>
        <n v="11.76"/>
        <n v="17.649999999999999"/>
        <n v="16.670000000000002"/>
        <n v="8.82"/>
        <n v="5.88"/>
        <n v="3.92"/>
        <n v="5.71"/>
        <n v="10.71"/>
        <n v="16.43"/>
        <n v="12.14"/>
        <n v="7.86"/>
        <n v="10"/>
        <n v="19.260000000000002"/>
        <n v="5.93"/>
        <n v="8.89"/>
        <n v="3.7"/>
        <n v="7.26"/>
        <n v="14.06"/>
        <n v="9.3800000000000008"/>
        <n v="10.94"/>
      </sharedItems>
    </cacheField>
    <cacheField name="総数（法人）" numFmtId="0" sqlType="4">
      <sharedItems containsSemiMixedTypes="0" containsString="0" containsNumber="1" containsInteger="1" minValue="0" maxValue="16542" count="283">
        <n v="2959"/>
        <n v="16542"/>
        <n v="2537"/>
        <n v="4562"/>
        <n v="3977"/>
        <n v="7099"/>
        <n v="1265"/>
        <n v="1996"/>
        <n v="1902"/>
        <n v="5380"/>
        <n v="4826"/>
        <n v="3438"/>
        <n v="2617"/>
        <n v="1866"/>
        <n v="3846"/>
        <n v="3476"/>
        <n v="3662"/>
        <n v="2467"/>
        <n v="2943"/>
        <n v="2806"/>
        <n v="1878"/>
        <n v="7035"/>
        <n v="2658"/>
        <n v="1080"/>
        <n v="2159"/>
        <n v="546"/>
        <n v="922"/>
        <n v="1586"/>
        <n v="2169"/>
        <n v="2073"/>
        <n v="2033"/>
        <n v="2056"/>
        <n v="2110"/>
        <n v="1393"/>
        <n v="1724"/>
        <n v="1220"/>
        <n v="798"/>
        <n v="1650"/>
        <n v="1543"/>
        <n v="1317"/>
        <n v="68"/>
        <n v="239"/>
        <n v="58"/>
        <n v="56"/>
        <n v="18"/>
        <n v="40"/>
        <n v="88"/>
        <n v="43"/>
        <n v="35"/>
        <n v="61"/>
        <n v="66"/>
        <n v="37"/>
        <n v="47"/>
        <n v="39"/>
        <n v="31"/>
        <n v="19"/>
        <n v="17"/>
        <n v="29"/>
        <n v="72"/>
        <n v="170"/>
        <n v="147"/>
        <n v="36"/>
        <n v="64"/>
        <n v="55"/>
        <n v="13"/>
        <n v="74"/>
        <n v="33"/>
        <n v="28"/>
        <n v="53"/>
        <n v="50"/>
        <n v="42"/>
        <n v="34"/>
        <n v="44"/>
        <n v="20"/>
        <n v="21"/>
        <n v="23"/>
        <n v="52"/>
        <n v="14"/>
        <n v="25"/>
        <n v="41"/>
        <n v="9"/>
        <n v="8"/>
        <n v="22"/>
        <n v="5"/>
        <n v="10"/>
        <n v="7"/>
        <n v="16"/>
        <n v="12"/>
        <n v="91"/>
        <n v="273"/>
        <n v="456"/>
        <n v="152"/>
        <n v="221"/>
        <n v="207"/>
        <n v="54"/>
        <n v="135"/>
        <n v="105"/>
        <n v="163"/>
        <n v="143"/>
        <n v="141"/>
        <n v="130"/>
        <n v="108"/>
        <n v="104"/>
        <n v="38"/>
        <n v="87"/>
        <n v="26"/>
        <n v="95"/>
        <n v="67"/>
        <n v="75"/>
        <n v="27"/>
        <n v="83"/>
        <n v="63"/>
        <n v="62"/>
        <n v="49"/>
        <n v="6"/>
        <n v="24"/>
        <n v="282"/>
        <n v="94"/>
        <n v="85"/>
        <n v="107"/>
        <n v="57"/>
        <n v="89"/>
        <n v="59"/>
        <n v="48"/>
        <n v="274"/>
        <n v="96"/>
        <n v="118"/>
        <n v="117"/>
        <n v="69"/>
        <n v="32"/>
        <n v="279"/>
        <n v="122"/>
        <n v="120"/>
        <n v="110"/>
        <n v="70"/>
        <n v="45"/>
        <n v="51"/>
        <n v="46"/>
        <n v="192"/>
        <n v="30"/>
        <n v="102"/>
        <n v="86"/>
        <n v="15"/>
        <n v="253"/>
        <n v="144"/>
        <n v="79"/>
        <n v="60"/>
        <n v="81"/>
        <n v="78"/>
        <n v="303"/>
        <n v="97"/>
        <n v="286"/>
        <n v="76"/>
        <n v="258"/>
        <n v="113"/>
        <n v="98"/>
        <n v="158"/>
        <n v="65"/>
        <n v="101"/>
        <n v="392"/>
        <n v="168"/>
        <n v="367"/>
        <n v="106"/>
        <n v="188"/>
        <n v="177"/>
        <n v="155"/>
        <n v="138"/>
        <n v="146"/>
        <n v="73"/>
        <n v="77"/>
        <n v="71"/>
        <n v="420"/>
        <n v="176"/>
        <n v="136"/>
        <n v="133"/>
        <n v="129"/>
        <n v="577"/>
        <n v="687"/>
        <n v="865"/>
        <n v="350"/>
        <n v="431"/>
        <n v="164"/>
        <n v="292"/>
        <n v="354"/>
        <n v="352"/>
        <n v="84"/>
        <n v="290"/>
        <n v="261"/>
        <n v="235"/>
        <n v="231"/>
        <n v="131"/>
        <n v="205"/>
        <n v="195"/>
        <n v="159"/>
        <n v="876"/>
        <n v="454"/>
        <n v="1181"/>
        <n v="736"/>
        <n v="455"/>
        <n v="497"/>
        <n v="563"/>
        <n v="179"/>
        <n v="527"/>
        <n v="387"/>
        <n v="384"/>
        <n v="341"/>
        <n v="295"/>
        <n v="222"/>
        <n v="237"/>
        <n v="140"/>
        <n v="1028"/>
        <n v="184"/>
        <n v="682"/>
        <n v="310"/>
        <n v="99"/>
        <n v="467"/>
        <n v="500"/>
        <n v="127"/>
        <n v="173"/>
        <n v="250"/>
        <n v="234"/>
        <n v="124"/>
        <n v="232"/>
        <n v="115"/>
        <n v="112"/>
        <n v="82"/>
        <n v="11"/>
        <n v="1"/>
        <n v="3"/>
        <n v="2"/>
        <n v="0"/>
        <n v="246"/>
        <n v="267"/>
        <n v="109"/>
        <n v="885"/>
        <n v="126"/>
        <n v="157"/>
        <n v="247"/>
        <n v="206"/>
        <n v="148"/>
        <n v="183"/>
        <n v="145"/>
        <n v="137"/>
        <n v="116"/>
        <n v="198"/>
        <n v="790"/>
        <n v="111"/>
        <n v="93"/>
        <n v="132"/>
        <n v="225"/>
        <n v="186"/>
        <n v="156"/>
        <n v="166"/>
        <n v="100"/>
        <n v="92"/>
        <n v="423"/>
        <n v="121"/>
        <n v="150"/>
        <n v="219"/>
        <n v="351"/>
        <n v="276"/>
        <n v="549"/>
        <n v="217"/>
        <n v="487"/>
        <n v="312"/>
        <n v="204"/>
        <n v="114"/>
        <n v="161"/>
        <n v="203"/>
        <n v="201"/>
        <n v="90"/>
        <n v="343"/>
        <n v="4"/>
        <n v="1128"/>
        <n v="633"/>
        <n v="345"/>
        <n v="414"/>
        <n v="395"/>
        <n v="211"/>
        <n v="271"/>
        <n v="103"/>
        <n v="200"/>
        <n v="151"/>
      </sharedItems>
    </cacheField>
    <cacheField name="構成比（法人）" numFmtId="0" sqlType="3">
      <sharedItems containsSemiMixedTypes="0" containsString="0" containsNumber="1" minValue="0" maxValue="24.34" count="621">
        <n v="2.58"/>
        <n v="14.4"/>
        <n v="2.21"/>
        <n v="3.97"/>
        <n v="3.46"/>
        <n v="6.18"/>
        <n v="1.1000000000000001"/>
        <n v="1.74"/>
        <n v="1.66"/>
        <n v="4.68"/>
        <n v="4.2"/>
        <n v="2.99"/>
        <n v="2.2799999999999998"/>
        <n v="1.62"/>
        <n v="3.35"/>
        <n v="3.03"/>
        <n v="3.19"/>
        <n v="2.15"/>
        <n v="2.56"/>
        <n v="2.44"/>
        <n v="12.96"/>
        <n v="4.9000000000000004"/>
        <n v="1.99"/>
        <n v="3.98"/>
        <n v="1.01"/>
        <n v="1.7"/>
        <n v="2.92"/>
        <n v="4"/>
        <n v="3.82"/>
        <n v="3.75"/>
        <n v="3.79"/>
        <n v="3.89"/>
        <n v="2.57"/>
        <n v="3.18"/>
        <n v="2.25"/>
        <n v="1.47"/>
        <n v="3.04"/>
        <n v="2.84"/>
        <n v="2.4300000000000002"/>
        <n v="4.67"/>
        <n v="16.41"/>
        <n v="3.85"/>
        <n v="1.24"/>
        <n v="2.75"/>
        <n v="6.04"/>
        <n v="2.95"/>
        <n v="2.4"/>
        <n v="4.1900000000000004"/>
        <n v="4.53"/>
        <n v="2.54"/>
        <n v="3.23"/>
        <n v="2.68"/>
        <n v="2.13"/>
        <n v="1.3"/>
        <n v="1.17"/>
        <n v="4.8600000000000003"/>
        <n v="11.49"/>
        <n v="9.93"/>
        <n v="4.32"/>
        <n v="3.72"/>
        <n v="0.88"/>
        <n v="5"/>
        <n v="2.23"/>
        <n v="1.89"/>
        <n v="3.58"/>
        <n v="3.38"/>
        <n v="2.2999999999999998"/>
        <n v="2.64"/>
        <n v="2.97"/>
        <n v="1.35"/>
        <n v="1.42"/>
        <n v="2.36"/>
        <n v="3.47"/>
        <n v="7.84"/>
        <n v="2.11"/>
        <n v="1.96"/>
        <n v="3.77"/>
        <n v="8.4499999999999993"/>
        <n v="6.64"/>
        <n v="1.36"/>
        <n v="1.21"/>
        <n v="3.32"/>
        <n v="0.75"/>
        <n v="1.51"/>
        <n v="1.06"/>
        <n v="3.02"/>
        <n v="2.41"/>
        <n v="1.81"/>
        <n v="2.2599999999999998"/>
        <n v="6.79"/>
        <n v="11.35"/>
        <n v="3.78"/>
        <n v="5.95"/>
        <n v="5.5"/>
        <n v="5.15"/>
        <n v="1.34"/>
        <n v="3.36"/>
        <n v="2.61"/>
        <n v="4.0599999999999996"/>
        <n v="3.56"/>
        <n v="3.51"/>
        <n v="2.69"/>
        <n v="0.55000000000000004"/>
        <n v="2.59"/>
        <n v="0.95"/>
        <n v="2.16"/>
        <n v="2.4900000000000002"/>
        <n v="9.1"/>
        <n v="1.72"/>
        <n v="6.42"/>
        <n v="4.21"/>
        <n v="1.92"/>
        <n v="7.18"/>
        <n v="6.51"/>
        <n v="1.1499999999999999"/>
        <n v="3.93"/>
        <n v="1.53"/>
        <n v="4.0199999999999996"/>
        <n v="1.25"/>
        <n v="0.86"/>
        <n v="1.82"/>
        <n v="3.16"/>
        <n v="2.2000000000000002"/>
        <n v="2.0699999999999998"/>
        <n v="9.0500000000000007"/>
        <n v="1.85"/>
        <n v="3.6"/>
        <n v="6"/>
        <n v="6.87"/>
        <n v="6.76"/>
        <n v="5.34"/>
        <n v="4.6900000000000004"/>
        <n v="0.65"/>
        <n v="2.94"/>
        <n v="2.62"/>
        <n v="3.05"/>
        <n v="0.98"/>
        <n v="15.65"/>
        <n v="2.72"/>
        <n v="5.22"/>
        <n v="4.72"/>
        <n v="3.11"/>
        <n v="5.94"/>
        <n v="1.28"/>
        <n v="4.88"/>
        <n v="4.9400000000000004"/>
        <n v="2.0499999999999998"/>
        <n v="3.27"/>
        <n v="2.66"/>
        <n v="2"/>
        <n v="1.83"/>
        <n v="1.39"/>
        <n v="17.149999999999999"/>
        <n v="5.57"/>
        <n v="6.01"/>
        <n v="3.13"/>
        <n v="1.56"/>
        <n v="5.19"/>
        <n v="3"/>
        <n v="1.5"/>
        <n v="3.44"/>
        <n v="0.81"/>
        <n v="1.1299999999999999"/>
        <n v="1.23"/>
        <n v="9.06"/>
        <n v="8.99"/>
        <n v="1.46"/>
        <n v="6.84"/>
        <n v="6.99"/>
        <n v="5.3"/>
        <n v="3.99"/>
        <n v="4.1500000000000004"/>
        <n v="0.54"/>
        <n v="3.61"/>
        <n v="1.84"/>
        <n v="3.3"/>
        <n v="1.08"/>
        <n v="2.46"/>
        <n v="1.38"/>
        <n v="2.38"/>
        <n v="16.899999999999999"/>
        <n v="2.06"/>
        <n v="7.39"/>
        <n v="1.27"/>
        <n v="7.27"/>
        <n v="6.66"/>
        <n v="2.48"/>
        <n v="1.45"/>
        <n v="4.24"/>
        <n v="3.88"/>
        <n v="2.73"/>
        <n v="2.67"/>
        <n v="3.09"/>
        <n v="1.33"/>
        <n v="2.79"/>
        <n v="1.0900000000000001"/>
        <n v="1.91"/>
        <n v="13.57"/>
        <n v="2.12"/>
        <n v="4.03"/>
        <n v="7.21"/>
        <n v="6.08"/>
        <n v="1.2"/>
        <n v="4.3099999999999996"/>
        <n v="4.17"/>
        <n v="1.77"/>
        <n v="2.76"/>
        <n v="2.2400000000000002"/>
        <n v="14.14"/>
        <n v="8.0500000000000007"/>
        <n v="1.79"/>
        <n v="3.24"/>
        <n v="2.35"/>
        <n v="2.74"/>
        <n v="4.42"/>
        <n v="2.96"/>
        <n v="3.41"/>
        <n v="3.86"/>
        <n v="4.1399999999999997"/>
        <n v="12.72"/>
        <n v="4.51"/>
        <n v="2.89"/>
        <n v="1.04"/>
        <n v="6.59"/>
        <n v="6.94"/>
        <n v="5.55"/>
        <n v="0.92"/>
        <n v="2.31"/>
        <n v="1.97"/>
        <n v="14.77"/>
        <n v="1.8"/>
        <n v="3.01"/>
        <n v="3.07"/>
        <n v="1.1399999999999999"/>
        <n v="5.41"/>
        <n v="5.21"/>
        <n v="4.95"/>
        <n v="1.87"/>
        <n v="0.87"/>
        <n v="3.28"/>
        <n v="1.94"/>
        <n v="20.27"/>
        <n v="2.88"/>
        <n v="6.49"/>
        <n v="3.08"/>
        <n v="4.08"/>
        <n v="5.42"/>
        <n v="4.62"/>
        <n v="1.61"/>
        <n v="2.14"/>
        <n v="1.54"/>
        <n v="21.39"/>
        <n v="2.4700000000000002"/>
        <n v="7.78"/>
        <n v="5.68"/>
        <n v="5.53"/>
        <n v="4.71"/>
        <n v="0.9"/>
        <n v="2.02"/>
        <n v="1.57"/>
        <n v="3.81"/>
        <n v="1.65"/>
        <n v="3.14"/>
        <n v="2.3199999999999998"/>
        <n v="2.09"/>
        <n v="16.09"/>
        <n v="0.94"/>
        <n v="1.68"/>
        <n v="3.74"/>
        <n v="7.05"/>
        <n v="5.43"/>
        <n v="6.11"/>
        <n v="1.1200000000000001"/>
        <n v="1.31"/>
        <n v="2.87"/>
        <n v="3.31"/>
        <n v="2.6"/>
        <n v="14.66"/>
        <n v="2.04"/>
        <n v="6.03"/>
        <n v="0.83"/>
        <n v="4.7300000000000004"/>
        <n v="5.47"/>
        <n v="6.22"/>
        <n v="4.3600000000000003"/>
        <n v="3.8"/>
        <n v="3.06"/>
        <n v="1.48"/>
        <n v="9.9700000000000006"/>
        <n v="4.2699999999999996"/>
        <n v="9.33"/>
        <n v="2.7"/>
        <n v="4.78"/>
        <n v="1.93"/>
        <n v="4.5"/>
        <n v="3.94"/>
        <n v="3.71"/>
        <n v="3.64"/>
        <n v="1.86"/>
        <n v="17.68"/>
        <n v="2.39"/>
        <n v="8.2799999999999994"/>
        <n v="4.0999999999999996"/>
        <n v="6.58"/>
        <n v="1.37"/>
        <n v="0.85"/>
        <n v="3.5"/>
        <n v="2.2200000000000002"/>
        <n v="1.63"/>
        <n v="10.91"/>
        <n v="5.88"/>
        <n v="4.33"/>
        <n v="4.49"/>
        <n v="2.5499999999999998"/>
        <n v="3.17"/>
        <n v="2.71"/>
        <n v="17.73"/>
        <n v="7.43"/>
        <n v="3.33"/>
        <n v="5.74"/>
        <n v="5.61"/>
        <n v="5.45"/>
        <n v="2.5299999999999998"/>
        <n v="0.93"/>
        <n v="7.16"/>
        <n v="8.52"/>
        <n v="10.73"/>
        <n v="4.34"/>
        <n v="2.0299999999999998"/>
        <n v="3.62"/>
        <n v="4.3899999999999997"/>
        <n v="4.37"/>
        <n v="2.1800000000000002"/>
        <n v="2.91"/>
        <n v="2.86"/>
        <n v="2.42"/>
        <n v="8.39"/>
        <n v="4.3499999999999996"/>
        <n v="11.31"/>
        <n v="4.76"/>
        <n v="5.39"/>
        <n v="1.71"/>
        <n v="5.05"/>
        <n v="2.9"/>
        <n v="3.68"/>
        <n v="0.7"/>
        <n v="2.82"/>
        <n v="1.41"/>
        <n v="2.27"/>
        <n v="13.51"/>
        <n v="8.9600000000000009"/>
        <n v="4.07"/>
        <n v="6.14"/>
        <n v="6.57"/>
        <n v="1.67"/>
        <n v="2.33"/>
        <n v="11.76"/>
        <n v="5.12"/>
        <n v="5.83"/>
        <n v="3.45"/>
        <n v="4.16"/>
        <n v="1.88"/>
        <n v="3.4"/>
        <n v="1.19"/>
        <n v="12.67"/>
        <n v="11.85"/>
        <n v="8.82"/>
        <n v="7.99"/>
        <n v="1.29"/>
        <n v="3.49"/>
        <n v="3.12"/>
        <n v="0.09"/>
        <n v="2.85"/>
        <n v="0.73"/>
        <n v="0.46"/>
        <n v="3.7"/>
        <n v="16.54"/>
        <n v="0.57999999999999996"/>
        <n v="1.75"/>
        <n v="7.98"/>
        <n v="8.3699999999999992"/>
        <n v="5.64"/>
        <n v="4.28"/>
        <n v="0.39"/>
        <n v="12.07"/>
        <n v="9.61"/>
        <n v="7.96"/>
        <n v="5.75"/>
        <n v="3.53"/>
        <n v="1.64"/>
        <n v="12.88"/>
        <n v="11.79"/>
        <n v="2.77"/>
        <n v="2.29"/>
        <n v="5.66"/>
        <n v="6.98"/>
        <n v="0.84"/>
        <n v="2.65"/>
        <n v="2.17"/>
        <n v="0.12"/>
        <n v="0"/>
        <n v="18.07"/>
        <n v="1.69"/>
        <n v="1.76"/>
        <n v="7.79"/>
        <n v="5.51"/>
        <n v="1.98"/>
        <n v="1.03"/>
        <n v="4.1100000000000003"/>
        <n v="11.68"/>
        <n v="8.64"/>
        <n v="10.08"/>
        <n v="6.88"/>
        <n v="6.24"/>
        <n v="0.96"/>
        <n v="0.8"/>
        <n v="3.52"/>
        <n v="0.48"/>
        <n v="1.6"/>
        <n v="13.87"/>
        <n v="11.48"/>
        <n v="0.62"/>
        <n v="20.420000000000002"/>
        <n v="2.1"/>
        <n v="2.19"/>
        <n v="5.7"/>
        <n v="4.75"/>
        <n v="3.42"/>
        <n v="4.22"/>
        <n v="2.93"/>
        <n v="2.52"/>
        <n v="3.22"/>
        <n v="18.77"/>
        <n v="9"/>
        <n v="2.37"/>
        <n v="5.97"/>
        <n v="4.6399999999999997"/>
        <n v="21.04"/>
        <n v="3.2"/>
        <n v="5.99"/>
        <n v="2.4500000000000002"/>
        <n v="19.329999999999998"/>
        <n v="6.93"/>
        <n v="3.73"/>
        <n v="6.27"/>
        <n v="5.33"/>
        <n v="1.73"/>
        <n v="15.7"/>
        <n v="9.58"/>
        <n v="5.35"/>
        <n v="11.36"/>
        <n v="5.24"/>
        <n v="5.49"/>
        <n v="0.37"/>
        <n v="2.5"/>
        <n v="3.25"/>
        <n v="12.3"/>
        <n v="8.09"/>
        <n v="7.47"/>
        <n v="6.29"/>
        <n v="4.04"/>
        <n v="1.52"/>
        <n v="13.31"/>
        <n v="10.47"/>
        <n v="5.31"/>
        <n v="1.55"/>
        <n v="1.78"/>
        <n v="3.15"/>
        <n v="5.54"/>
        <n v="3.83"/>
        <n v="20.96"/>
        <n v="8.2899999999999991"/>
        <n v="4.8099999999999996"/>
        <n v="1.95"/>
        <n v="14.82"/>
        <n v="9.49"/>
        <n v="2.34"/>
        <n v="6.21"/>
        <n v="1.49"/>
        <n v="0.97"/>
        <n v="1.4"/>
        <n v="0.82"/>
        <n v="2.63"/>
        <n v="10.02"/>
        <n v="5.65"/>
        <n v="8.0399999999999991"/>
        <n v="5.89"/>
        <n v="0.64"/>
        <n v="0.24"/>
        <n v="15.46"/>
        <n v="0.99"/>
        <n v="9.2100000000000009"/>
        <n v="1.32"/>
        <n v="2.08"/>
        <n v="8.34"/>
        <n v="6.53"/>
        <n v="7.41"/>
        <n v="14.04"/>
        <n v="11.52"/>
        <n v="3.37"/>
        <n v="15.53"/>
        <n v="7.8"/>
        <n v="7.12"/>
        <n v="6.96"/>
        <n v="2.83"/>
        <n v="0.61"/>
        <n v="1.22"/>
        <n v="15.58"/>
        <n v="7.67"/>
        <n v="6.67"/>
        <n v="3.1"/>
        <n v="11.34"/>
        <n v="6.07"/>
        <n v="0.74"/>
        <n v="24.34"/>
        <n v="7.45"/>
        <n v="4.6100000000000003"/>
        <n v="3.48"/>
        <n v="3.9"/>
        <n v="3.26"/>
        <n v="14.24"/>
        <n v="9.44"/>
        <n v="2.0099999999999998"/>
        <n v="4.8"/>
        <n v="4.18"/>
        <n v="0.77"/>
        <n v="14.16"/>
        <n v="1.05"/>
        <n v="10.33"/>
        <n v="6.12"/>
        <n v="5.84"/>
        <n v="2.78"/>
        <n v="18.62"/>
        <n v="7.48"/>
        <n v="6.81"/>
        <n v="3.87"/>
        <n v="1"/>
        <n v="1.07"/>
        <n v="19.04"/>
        <n v="7.15"/>
        <n v="6.2"/>
        <n v="6.86"/>
        <n v="4.01"/>
        <n v="3.43"/>
        <n v="0.51"/>
        <n v="9.2799999999999994"/>
        <n v="9.66"/>
        <n v="19.440000000000001"/>
        <n v="8.6300000000000008"/>
        <n v="3.95"/>
        <n v="14.74"/>
        <n v="8.27"/>
        <n v="4.59"/>
        <n v="5.16"/>
        <n v="3.54"/>
        <n v="8.73"/>
        <n v="5.46"/>
        <n v="12.01"/>
        <n v="5.0199999999999996"/>
        <n v="6.77"/>
        <n v="0.44"/>
        <n v="13.66"/>
        <n v="0.4"/>
        <n v="1.58"/>
        <n v="3.76"/>
        <n v="12.31"/>
        <n v="10.98"/>
        <n v="0.76"/>
        <n v="4.92"/>
        <n v="7.58"/>
        <n v="0.56999999999999995"/>
        <n v="17.489999999999998"/>
        <n v="9.8800000000000008"/>
        <n v="3.29"/>
        <n v="0.41"/>
        <n v="7.5"/>
        <n v="15.56"/>
        <n v="1.1100000000000001"/>
        <n v="14.71"/>
        <n v="11.18"/>
        <n v="1.18"/>
        <n v="4.12"/>
        <n v="5.29"/>
        <n v="0.59"/>
        <n v="14.88"/>
        <n v="5.79"/>
        <n v="4.13"/>
        <n v="4.96"/>
        <n v="6.61"/>
        <n v="15.79"/>
        <n v="5.26"/>
        <n v="10.56"/>
        <n v="11.8"/>
        <n v="8.6999999999999993"/>
        <n v="9.32"/>
        <n v="13.29"/>
        <n v="12.24"/>
        <n v="5.59"/>
        <n v="7.34"/>
        <n v="2.8"/>
        <n v="0.35"/>
        <n v="11.29"/>
        <n v="4.84"/>
        <n v="17.739999999999998"/>
        <n v="6.45"/>
        <n v="8.06"/>
        <n v="16.13"/>
        <n v="8.6"/>
        <n v="5.38"/>
        <n v="10.75"/>
        <n v="4.3"/>
        <n v="18.37"/>
        <n v="10.199999999999999"/>
        <n v="1.02"/>
        <n v="5.0999999999999996"/>
        <n v="7.14"/>
        <n v="9.09"/>
        <n v="15.38"/>
        <n v="18.87"/>
        <n v="11.32"/>
        <n v="7.55"/>
      </sharedItems>
    </cacheField>
    <cacheField name="総数（法人以外の団体）" numFmtId="0" sqlType="4">
      <sharedItems containsSemiMixedTypes="0" containsString="0" containsNumber="1" containsInteger="1" minValue="0" maxValue="67" count="19">
        <n v="8"/>
        <n v="32"/>
        <n v="3"/>
        <n v="6"/>
        <n v="13"/>
        <n v="1"/>
        <n v="5"/>
        <n v="47"/>
        <n v="0"/>
        <n v="2"/>
        <n v="67"/>
        <n v="4"/>
        <n v="15"/>
        <n v="10"/>
        <n v="12"/>
        <n v="30"/>
        <n v="7"/>
        <n v="11"/>
        <n v="1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59073495367" createdVersion="5" refreshedVersion="8" minRefreshableVersion="3" recordCount="1580" xr:uid="{D54EF12F-0E27-4E8A-A4F2-06542798BB19}">
  <cacheSource type="external" connectionId="3"/>
  <cacheFields count="14">
    <cacheField name="都道府県" numFmtId="0" sqlType="-9">
      <sharedItems count="1">
        <s v="27 大阪府"/>
      </sharedItems>
    </cacheField>
    <cacheField name="自治体名" numFmtId="0" sqlType="-9">
      <sharedItems count="75">
        <s v="大阪府"/>
        <s v="大阪市"/>
        <s v="大阪市都島区"/>
        <s v="大阪市福島区"/>
        <s v="大阪市此花区"/>
        <s v="大阪市西区"/>
        <s v="大阪市港区"/>
        <s v="大阪市大正区"/>
        <s v="大阪市天王寺区"/>
        <s v="大阪市浪速区"/>
        <s v="大阪市西淀川区"/>
        <s v="大阪市東淀川区"/>
        <s v="大阪市東成区"/>
        <s v="大阪市生野区"/>
        <s v="大阪市旭区"/>
        <s v="大阪市城東区"/>
        <s v="大阪市阿倍野区"/>
        <s v="大阪市住吉区"/>
        <s v="大阪市東住吉区"/>
        <s v="大阪市西成区"/>
        <s v="大阪市淀川区"/>
        <s v="大阪市鶴見区"/>
        <s v="大阪市住之江区"/>
        <s v="大阪市平野区"/>
        <s v="大阪市北区"/>
        <s v="大阪市中央区"/>
        <s v="堺市"/>
        <s v="堺市堺区"/>
        <s v="堺市中区"/>
        <s v="堺市東区"/>
        <s v="堺市西区"/>
        <s v="堺市南区"/>
        <s v="堺市北区"/>
        <s v="堺市美原区"/>
        <s v="岸和田市"/>
        <s v="豊中市"/>
        <s v="池田市"/>
        <s v="吹田市"/>
        <s v="泉大津市"/>
        <s v="高槻市"/>
        <s v="貝塚市"/>
        <s v="守口市"/>
        <s v="枚方市"/>
        <s v="茨木市"/>
        <s v="八尾市"/>
        <s v="泉佐野市"/>
        <s v="富田林市"/>
        <s v="寝屋川市"/>
        <s v="河内長野市"/>
        <s v="松原市"/>
        <s v="大東市"/>
        <s v="和泉市"/>
        <s v="箕面市"/>
        <s v="柏原市"/>
        <s v="羽曳野市"/>
        <s v="門真市"/>
        <s v="摂津市"/>
        <s v="高石市"/>
        <s v="藤井寺市"/>
        <s v="東大阪市"/>
        <s v="泉南市"/>
        <s v="四條畷市"/>
        <s v="交野市"/>
        <s v="大阪狭山市"/>
        <s v="阪南市"/>
        <s v="三島郡島本町"/>
        <s v="豊能郡豊能町"/>
        <s v="豊能郡能勢町"/>
        <s v="泉北郡忠岡町"/>
        <s v="泉南郡熊取町"/>
        <s v="泉南郡田尻町"/>
        <s v="泉南郡岬町"/>
        <s v="南河内郡太子町"/>
        <s v="南河内郡河南町"/>
        <s v="南河内郡千早赤阪村"/>
      </sharedItems>
    </cacheField>
    <cacheField name="自治体" numFmtId="0" sqlType="-9">
      <sharedItems count="75">
        <s v="27000 大阪府"/>
        <s v="27100 大阪市"/>
        <s v="27102 大阪市都島区"/>
        <s v="27103 大阪市福島区"/>
        <s v="27104 大阪市此花区"/>
        <s v="27106 大阪市西区"/>
        <s v="27107 大阪市港区"/>
        <s v="27108 大阪市大正区"/>
        <s v="27109 大阪市天王寺区"/>
        <s v="27111 大阪市浪速区"/>
        <s v="27113 大阪市西淀川区"/>
        <s v="27114 大阪市東淀川区"/>
        <s v="27115 大阪市東成区"/>
        <s v="27116 大阪市生野区"/>
        <s v="27117 大阪市旭区"/>
        <s v="27118 大阪市城東区"/>
        <s v="27119 大阪市阿倍野区"/>
        <s v="27120 大阪市住吉区"/>
        <s v="27121 大阪市東住吉区"/>
        <s v="27122 大阪市西成区"/>
        <s v="27123 大阪市淀川区"/>
        <s v="27124 大阪市鶴見区"/>
        <s v="27125 大阪市住之江区"/>
        <s v="27126 大阪市平野区"/>
        <s v="27127 大阪市北区"/>
        <s v="27128 大阪市中央区"/>
        <s v="27140 堺市"/>
        <s v="27141 堺市堺区"/>
        <s v="27142 堺市中区"/>
        <s v="27143 堺市東区"/>
        <s v="27144 堺市西区"/>
        <s v="27145 堺市南区"/>
        <s v="27146 堺市北区"/>
        <s v="27147 堺市美原区"/>
        <s v="27202 岸和田市"/>
        <s v="27203 豊中市"/>
        <s v="27204 池田市"/>
        <s v="27205 吹田市"/>
        <s v="27206 泉大津市"/>
        <s v="27207 高槻市"/>
        <s v="27208 貝塚市"/>
        <s v="27209 守口市"/>
        <s v="27210 枚方市"/>
        <s v="27211 茨木市"/>
        <s v="27212 八尾市"/>
        <s v="27213 泉佐野市"/>
        <s v="27214 富田林市"/>
        <s v="27215 寝屋川市"/>
        <s v="27216 河内長野市"/>
        <s v="27217 松原市"/>
        <s v="27218 大東市"/>
        <s v="27219 和泉市"/>
        <s v="27220 箕面市"/>
        <s v="27221 柏原市"/>
        <s v="27222 羽曳野市"/>
        <s v="27223 門真市"/>
        <s v="27224 摂津市"/>
        <s v="27225 高石市"/>
        <s v="27226 藤井寺市"/>
        <s v="27227 東大阪市"/>
        <s v="27228 泉南市"/>
        <s v="27229 四條畷市"/>
        <s v="27230 交野市"/>
        <s v="27231 大阪狭山市"/>
        <s v="27232 阪南市"/>
        <s v="27301 三島郡島本町"/>
        <s v="27321 豊能郡豊能町"/>
        <s v="27322 豊能郡能勢町"/>
        <s v="27341 泉北郡忠岡町"/>
        <s v="27361 泉南郡熊取町"/>
        <s v="27362 泉南郡田尻町"/>
        <s v="27366 泉南郡岬町"/>
        <s v="27381 南河内郡太子町"/>
        <s v="27382 南河内郡河南町"/>
        <s v="27383 南河内郡千早赤阪村"/>
      </sharedItems>
    </cacheField>
    <cacheField name="産業分類コード" numFmtId="0" sqlType="-8">
      <sharedItems count="116">
        <s v="692"/>
        <s v="783"/>
        <s v="835"/>
        <s v="765"/>
        <s v="691"/>
        <s v="767"/>
        <s v="762"/>
        <s v="782"/>
        <s v="609"/>
        <s v="824"/>
        <s v="693"/>
        <s v="766"/>
        <s v="694"/>
        <s v="682"/>
        <s v="589"/>
        <s v="081"/>
        <s v="064"/>
        <s v="724"/>
        <s v="573"/>
        <s v="559"/>
        <s v="742"/>
        <s v="929"/>
        <s v="151"/>
        <s v="603"/>
        <s v="083"/>
        <s v="521"/>
        <s v="522"/>
        <s v="541"/>
        <s v="542"/>
        <s v="769"/>
        <s v="761"/>
        <s v="586"/>
        <s v="726"/>
        <s v="248"/>
        <s v="391"/>
        <s v="729"/>
        <s v="728"/>
        <s v="534"/>
        <s v="062"/>
        <s v="259"/>
        <s v="244"/>
        <s v="585"/>
        <s v="079"/>
        <s v="593"/>
        <s v="781"/>
        <s v="891"/>
        <s v="229"/>
        <s v="823"/>
        <s v="543"/>
        <s v="607"/>
        <s v="266"/>
        <s v="253"/>
        <s v="246"/>
        <s v="153"/>
        <s v="116"/>
        <s v="242"/>
        <s v="192"/>
        <s v="854"/>
        <s v="833"/>
        <s v="066"/>
        <s v="432"/>
        <s v="204"/>
        <s v="549"/>
        <s v="591"/>
        <s v="441"/>
        <s v="531"/>
        <s v="078"/>
        <s v="721"/>
        <s v="512"/>
        <s v="511"/>
        <s v="722"/>
        <s v="799"/>
        <s v="131"/>
        <s v="065"/>
        <s v="072"/>
        <s v="077"/>
        <s v="139"/>
        <s v="119"/>
        <s v="247"/>
        <s v="269"/>
        <s v="245"/>
        <s v="611"/>
        <s v="794"/>
        <s v="111"/>
        <s v="789"/>
        <s v="601"/>
        <s v="743"/>
        <s v="605"/>
        <s v="133"/>
        <s v="071"/>
        <s v="099"/>
        <s v="121"/>
        <s v="182"/>
        <s v="212"/>
        <s v="759"/>
        <s v="806"/>
        <s v="853"/>
        <s v="881"/>
        <s v="903"/>
        <s v="113"/>
        <s v="461"/>
        <s v="608"/>
        <s v="082"/>
        <s v="582"/>
        <s v="602"/>
        <s v="584"/>
        <s v="809"/>
        <s v="751"/>
        <s v="118"/>
        <s v="145"/>
        <s v="185"/>
        <s v="189"/>
        <s v="532"/>
        <s v="550"/>
        <s v="581"/>
        <s v="772"/>
      </sharedItems>
    </cacheField>
    <cacheField name="産業分類" numFmtId="0" sqlType="-9">
      <sharedItems count="116">
        <s v="貸家業，貸間業"/>
        <s v="美容業"/>
        <s v="療術業"/>
        <s v="酒場，ビヤホール"/>
        <s v="不動産賃貸業（貸家業，貸間業を除く）"/>
        <s v="喫茶店"/>
        <s v="専門料理店"/>
        <s v="理容業"/>
        <s v="他に分類されない小売業"/>
        <s v="教養・技能教授業"/>
        <s v="駐車場業"/>
        <s v="バー，キャバレー，ナイトクラブ"/>
        <s v="不動産管理業"/>
        <s v="不動産代理業・仲介業"/>
        <s v="その他の飲食料品小売業"/>
        <s v="電気工事業"/>
        <s v="建築工事業（木造建築工事業を除く）"/>
        <s v="公認会計士事務所，税理士事務所"/>
        <s v="婦人・子供服小売業"/>
        <s v="他に分類されない卸売業"/>
        <s v="土木建築サービス業"/>
        <s v="他に分類されない事業サービス業"/>
        <s v="印刷業"/>
        <s v="医薬品・化粧品小売業"/>
        <s v="管工事業（さく井工事業を除く）"/>
        <s v="農畜産物・水産物卸売業"/>
        <s v="食料・飲料卸売業"/>
        <s v="産業機械器具卸売業"/>
        <s v="自動車卸売業"/>
        <s v="その他の飲食店"/>
        <s v="食堂，レストラン（専門料理店を除く）"/>
        <s v="菓子・パン小売業"/>
        <s v="デザイン業"/>
        <s v="ボルト・ナット・リベット・小ねじ・木ねじ等製造業"/>
        <s v="ソフトウェア業"/>
        <s v="その他の専門サービス業"/>
        <s v="経営コンサルタント業，純粋持株会社"/>
        <s v="鉄鋼製品卸売業"/>
        <s v="土木工事業（舗装工事業を除く）"/>
        <s v="その他のはん用機械・同部分品製造業"/>
        <s v="建設用・建築用金属製品製造業（製缶板金業を含む）"/>
        <s v="酒小売業"/>
        <s v="その他の職別工事業"/>
        <s v="機械器具小売業（自動車，自転車を除く）"/>
        <s v="洗濯業"/>
        <s v="自動車整備業"/>
        <s v="その他の鉄鋼業"/>
        <s v="学習塾"/>
        <s v="電気機械器具卸売業"/>
        <s v="スポーツ用品・がん具・娯楽用品・楽器小売業"/>
        <s v="金属加工機械製造業"/>
        <s v="一般産業用機械・装置製造業"/>
        <s v="金属被覆・彫刻業，熱処理業（ほうろう鉄器を除く）"/>
        <s v="製本業，印刷物加工業"/>
        <s v="外衣・シャツ製造業（和式を除く）"/>
        <s v="洋食器・刃物・手道具・金物類製造業"/>
        <s v="ゴム製・プラスチック製履物・同附属品製造業"/>
        <s v="老人福祉・介護事業"/>
        <s v="歯科診療所"/>
        <s v="建築リフォーム工事業"/>
        <s v="一般乗用旅客自動車運送業"/>
        <s v="革製履物製造業"/>
        <s v="その他の機械器具卸売業"/>
        <s v="自動車小売業"/>
        <s v="一般貨物自動車運送業"/>
        <s v="建築材料卸売業"/>
        <s v="床・内装工事業"/>
        <s v="法律事務所，特許事務所"/>
        <s v="衣服卸売業"/>
        <s v="繊維品卸売業（衣服，身の回り品を除く）"/>
        <s v="公証人役場，司法書士事務所，土地家屋調査士事務所"/>
        <s v="他に分類されない生活関連サービス業"/>
        <s v="家具製造業"/>
        <s v="木造建築工事業"/>
        <s v="とび・土工・コンクリート工事業"/>
        <s v="塗装工事業"/>
        <s v="その他の家具・装備品製造業"/>
        <s v="その他の繊維製品製造業"/>
        <s v="金属線製品製造業（ねじ類を除く）"/>
        <s v="その他の生産用機械・同部分品製造業"/>
        <s v="金属素形材製品製造業"/>
        <s v="通信販売・訪問販売小売業"/>
        <s v="物品預り業"/>
        <s v="製糸業，紡績業，化学繊維・ねん糸等製造業"/>
        <s v="その他の洗濯・理容・美容・浴場業"/>
        <s v="家具・建具・畳小売業"/>
        <s v="機械設計業"/>
        <s v="燃料小売業"/>
        <s v="建具製造業"/>
        <s v="大工工事業"/>
        <s v="その他の食料品製造業"/>
        <s v="製材業，木製品製造業"/>
        <s v="プラスチックフィルム・シート・床材・合成皮革製造業"/>
        <s v="セメント・同製品製造業"/>
        <s v="その他の宿泊業"/>
        <s v="遊戯場"/>
        <s v="児童福祉事業"/>
        <s v="一般廃棄物処理業"/>
        <s v="表具業"/>
        <s v="ニット生地製造業"/>
        <s v="航空運送業"/>
        <s v="写真機・時計・眼鏡小売業"/>
        <s v="電気通信・信号装置工事業"/>
        <s v="野菜・果実小売業"/>
        <s v="じゅう器小売業"/>
        <s v="鮮魚小売業"/>
        <s v="その他の娯楽業"/>
        <s v="旅館，ホテル"/>
        <s v="和装製品・その他の衣服・繊維製身の回り品製造業"/>
        <s v="紙製容器製造業"/>
        <s v="プラスチック成形材料製造業（廃プラスチックを含む）"/>
        <s v="その他のプラスチック製品製造業"/>
        <s v="化学製品卸売業"/>
        <s v="管理，補助的経済活動を行う事業所"/>
        <s v="各種食料品小売業"/>
        <s v="配達飲食サービス業"/>
      </sharedItems>
    </cacheField>
    <cacheField name="産業小分類" numFmtId="0" sqlType="-9">
      <sharedItems count="116">
        <s v="692 貸家業，貸間業"/>
        <s v="783 美容業"/>
        <s v="835 療術業"/>
        <s v="765 酒場，ビヤホール"/>
        <s v="691 不動産賃貸業（貸家業，貸間業を除く）"/>
        <s v="767 喫茶店"/>
        <s v="762 専門料理店"/>
        <s v="782 理容業"/>
        <s v="609 他に分類されない小売業"/>
        <s v="824 教養・技能教授業"/>
        <s v="693 駐車場業"/>
        <s v="766 バー，キャバレー，ナイトクラブ"/>
        <s v="694 不動産管理業"/>
        <s v="682 不動産代理業・仲介業"/>
        <s v="589 その他の飲食料品小売業"/>
        <s v="081 電気工事業"/>
        <s v="064 建築工事業（木造建築工事業を除く）"/>
        <s v="724 公認会計士事務所，税理士事務所"/>
        <s v="573 婦人・子供服小売業"/>
        <s v="559 他に分類されない卸売業"/>
        <s v="742 土木建築サービス業"/>
        <s v="929 他に分類されない事業サービス業"/>
        <s v="151 印刷業"/>
        <s v="603 医薬品・化粧品小売業"/>
        <s v="083 管工事業（さく井工事業を除く）"/>
        <s v="521 農畜産物・水産物卸売業"/>
        <s v="522 食料・飲料卸売業"/>
        <s v="541 産業機械器具卸売業"/>
        <s v="542 自動車卸売業"/>
        <s v="769 その他の飲食店"/>
        <s v="761 食堂，レストラン（専門料理店を除く）"/>
        <s v="586 菓子・パン小売業"/>
        <s v="726 デザイン業"/>
        <s v="248 ボルト・ナット・リベット・小ねじ・木ねじ等製造業"/>
        <s v="391 ソフトウェア業"/>
        <s v="729 その他の専門サービス業"/>
        <s v="728 経営コンサルタント業，純粋持株会社"/>
        <s v="534 鉄鋼製品卸売業"/>
        <s v="062 土木工事業（舗装工事業を除く）"/>
        <s v="259 その他のはん用機械・同部分品製造業"/>
        <s v="244 建設用・建築用金属製品製造業（製缶板金業を含む）"/>
        <s v="585 酒小売業"/>
        <s v="079 その他の職別工事業"/>
        <s v="593 機械器具小売業（自動車，自転車を除く）"/>
        <s v="781 洗濯業"/>
        <s v="891 自動車整備業"/>
        <s v="229 その他の鉄鋼業"/>
        <s v="823 学習塾"/>
        <s v="543 電気機械器具卸売業"/>
        <s v="607 スポーツ用品・がん具・娯楽用品・楽器小売業"/>
        <s v="266 金属加工機械製造業"/>
        <s v="253 一般産業用機械・装置製造業"/>
        <s v="246 金属被覆・彫刻業，熱処理業（ほうろう鉄器を除く）"/>
        <s v="153 製本業，印刷物加工業"/>
        <s v="116 外衣・シャツ製造業（和式を除く）"/>
        <s v="242 洋食器・刃物・手道具・金物類製造業"/>
        <s v="192 ゴム製・プラスチック製履物・同附属品製造業"/>
        <s v="854 老人福祉・介護事業"/>
        <s v="833 歯科診療所"/>
        <s v="066 建築リフォーム工事業"/>
        <s v="432 一般乗用旅客自動車運送業"/>
        <s v="204 革製履物製造業"/>
        <s v="549 その他の機械器具卸売業"/>
        <s v="591 自動車小売業"/>
        <s v="441 一般貨物自動車運送業"/>
        <s v="531 建築材料卸売業"/>
        <s v="078 床・内装工事業"/>
        <s v="721 法律事務所，特許事務所"/>
        <s v="512 衣服卸売業"/>
        <s v="511 繊維品卸売業（衣服，身の回り品を除く）"/>
        <s v="722 公証人役場，司法書士事務所，土地家屋調査士事務所"/>
        <s v="799 他に分類されない生活関連サービス業"/>
        <s v="131 家具製造業"/>
        <s v="065 木造建築工事業"/>
        <s v="072 とび・土工・コンクリート工事業"/>
        <s v="077 塗装工事業"/>
        <s v="139 その他の家具・装備品製造業"/>
        <s v="119 その他の繊維製品製造業"/>
        <s v="247 金属線製品製造業（ねじ類を除く）"/>
        <s v="269 その他の生産用機械・同部分品製造業"/>
        <s v="245 金属素形材製品製造業"/>
        <s v="611 通信販売・訪問販売小売業"/>
        <s v="794 物品預り業"/>
        <s v="111 製糸業，紡績業，化学繊維・ねん糸等製造業"/>
        <s v="789 その他の洗濯・理容・美容・浴場業"/>
        <s v="601 家具・建具・畳小売業"/>
        <s v="743 機械設計業"/>
        <s v="605 燃料小売業"/>
        <s v="133 建具製造業"/>
        <s v="071 大工工事業"/>
        <s v="099 その他の食料品製造業"/>
        <s v="121 製材業，木製品製造業"/>
        <s v="182 プラスチックフィルム・シート・床材・合成皮革製造業"/>
        <s v="212 セメント・同製品製造業"/>
        <s v="759 その他の宿泊業"/>
        <s v="806 遊戯場"/>
        <s v="853 児童福祉事業"/>
        <s v="881 一般廃棄物処理業"/>
        <s v="903 表具業"/>
        <s v="113 ニット生地製造業"/>
        <s v="461 航空運送業"/>
        <s v="608 写真機・時計・眼鏡小売業"/>
        <s v="082 電気通信・信号装置工事業"/>
        <s v="582 野菜・果実小売業"/>
        <s v="602 じゅう器小売業"/>
        <s v="584 鮮魚小売業"/>
        <s v="809 その他の娯楽業"/>
        <s v="751 旅館，ホテル"/>
        <s v="118 和装製品・その他の衣服・繊維製身の回り品製造業"/>
        <s v="145 紙製容器製造業"/>
        <s v="185 プラスチック成形材料製造業（廃プラスチックを含む）"/>
        <s v="189 その他のプラスチック製品製造業"/>
        <s v="532 化学製品卸売業"/>
        <s v="550 管理，補助的経済活動を行う事業所"/>
        <s v="581 各種食料品小売業"/>
        <s v="772 配達飲食サービス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2" maxValue="11634" count="307">
        <n v="11634"/>
        <n v="8017"/>
        <n v="6015"/>
        <n v="5678"/>
        <n v="5420"/>
        <n v="5393"/>
        <n v="5240"/>
        <n v="4266"/>
        <n v="4205"/>
        <n v="4146"/>
        <n v="3662"/>
        <n v="3587"/>
        <n v="3382"/>
        <n v="3331"/>
        <n v="2778"/>
        <n v="2730"/>
        <n v="2702"/>
        <n v="2671"/>
        <n v="2527"/>
        <n v="2510"/>
        <n v="5280"/>
        <n v="3009"/>
        <n v="2762"/>
        <n v="2698"/>
        <n v="2378"/>
        <n v="2307"/>
        <n v="2296"/>
        <n v="1999"/>
        <n v="1989"/>
        <n v="1899"/>
        <n v="1729"/>
        <n v="1459"/>
        <n v="1449"/>
        <n v="1428"/>
        <n v="1385"/>
        <n v="1308"/>
        <n v="1307"/>
        <n v="1283"/>
        <n v="1255"/>
        <n v="1211"/>
        <n v="223"/>
        <n v="106"/>
        <n v="101"/>
        <n v="89"/>
        <n v="85"/>
        <n v="73"/>
        <n v="63"/>
        <n v="57"/>
        <n v="54"/>
        <n v="53"/>
        <n v="49"/>
        <n v="44"/>
        <n v="42"/>
        <n v="41"/>
        <n v="40"/>
        <n v="39"/>
        <n v="38"/>
        <n v="36"/>
        <n v="34"/>
        <n v="138"/>
        <n v="126"/>
        <n v="119"/>
        <n v="70"/>
        <n v="68"/>
        <n v="62"/>
        <n v="52"/>
        <n v="43"/>
        <n v="35"/>
        <n v="31"/>
        <n v="45"/>
        <n v="33"/>
        <n v="32"/>
        <n v="27"/>
        <n v="26"/>
        <n v="25"/>
        <n v="23"/>
        <n v="21"/>
        <n v="19"/>
        <n v="16"/>
        <n v="15"/>
        <n v="215"/>
        <n v="200"/>
        <n v="190"/>
        <n v="181"/>
        <n v="152"/>
        <n v="140"/>
        <n v="139"/>
        <n v="129"/>
        <n v="122"/>
        <n v="115"/>
        <n v="114"/>
        <n v="105"/>
        <n v="98"/>
        <n v="91"/>
        <n v="86"/>
        <n v="84"/>
        <n v="81"/>
        <n v="77"/>
        <n v="92"/>
        <n v="75"/>
        <n v="72"/>
        <n v="61"/>
        <n v="59"/>
        <n v="30"/>
        <n v="28"/>
        <n v="82"/>
        <n v="37"/>
        <n v="29"/>
        <n v="24"/>
        <n v="198"/>
        <n v="136"/>
        <n v="97"/>
        <n v="96"/>
        <n v="78"/>
        <n v="69"/>
        <n v="67"/>
        <n v="65"/>
        <n v="60"/>
        <n v="58"/>
        <n v="50"/>
        <n v="194"/>
        <n v="88"/>
        <n v="79"/>
        <n v="51"/>
        <n v="48"/>
        <n v="116"/>
        <n v="71"/>
        <n v="351"/>
        <n v="141"/>
        <n v="112"/>
        <n v="110"/>
        <n v="93"/>
        <n v="55"/>
        <n v="47"/>
        <n v="46"/>
        <n v="156"/>
        <n v="76"/>
        <n v="74"/>
        <n v="64"/>
        <n v="231"/>
        <n v="137"/>
        <n v="124"/>
        <n v="104"/>
        <n v="83"/>
        <n v="158"/>
        <n v="56"/>
        <n v="103"/>
        <n v="102"/>
        <n v="87"/>
        <n v="268"/>
        <n v="135"/>
        <n v="123"/>
        <n v="95"/>
        <n v="298"/>
        <n v="142"/>
        <n v="203"/>
        <n v="128"/>
        <n v="66"/>
        <n v="230"/>
        <n v="312"/>
        <n v="201"/>
        <n v="178"/>
        <n v="160"/>
        <n v="143"/>
        <n v="134"/>
        <n v="133"/>
        <n v="121"/>
        <n v="107"/>
        <n v="99"/>
        <n v="225"/>
        <n v="147"/>
        <n v="146"/>
        <n v="117"/>
        <n v="90"/>
        <n v="761"/>
        <n v="742"/>
        <n v="647"/>
        <n v="484"/>
        <n v="473"/>
        <n v="441"/>
        <n v="420"/>
        <n v="307"/>
        <n v="284"/>
        <n v="279"/>
        <n v="274"/>
        <n v="259"/>
        <n v="252"/>
        <n v="226"/>
        <n v="221"/>
        <n v="210"/>
        <n v="187"/>
        <n v="176"/>
        <n v="777"/>
        <n v="607"/>
        <n v="544"/>
        <n v="504"/>
        <n v="493"/>
        <n v="440"/>
        <n v="414"/>
        <n v="407"/>
        <n v="380"/>
        <n v="359"/>
        <n v="353"/>
        <n v="334"/>
        <n v="291"/>
        <n v="287"/>
        <n v="283"/>
        <n v="276"/>
        <n v="275"/>
        <n v="239"/>
        <n v="238"/>
        <n v="692"/>
        <n v="547"/>
        <n v="508"/>
        <n v="413"/>
        <n v="389"/>
        <n v="382"/>
        <n v="366"/>
        <n v="314"/>
        <n v="295"/>
        <n v="254"/>
        <n v="250"/>
        <n v="218"/>
        <n v="217"/>
        <n v="213"/>
        <n v="211"/>
        <n v="191"/>
        <n v="145"/>
        <n v="131"/>
        <n v="125"/>
        <n v="111"/>
        <n v="108"/>
        <n v="94"/>
        <n v="22"/>
        <n v="20"/>
        <n v="17"/>
        <n v="151"/>
        <n v="120"/>
        <n v="18"/>
        <n v="14"/>
        <n v="13"/>
        <n v="12"/>
        <n v="11"/>
        <n v="10"/>
        <n v="177"/>
        <n v="167"/>
        <n v="130"/>
        <n v="80"/>
        <n v="594"/>
        <n v="365"/>
        <n v="271"/>
        <n v="236"/>
        <n v="222"/>
        <n v="216"/>
        <n v="186"/>
        <n v="175"/>
        <n v="144"/>
        <n v="100"/>
        <n v="164"/>
        <n v="488"/>
        <n v="249"/>
        <n v="166"/>
        <n v="162"/>
        <n v="118"/>
        <n v="322"/>
        <n v="292"/>
        <n v="154"/>
        <n v="150"/>
        <n v="157"/>
        <n v="127"/>
        <n v="333"/>
        <n v="244"/>
        <n v="209"/>
        <n v="189"/>
        <n v="169"/>
        <n v="500"/>
        <n v="237"/>
        <n v="229"/>
        <n v="184"/>
        <n v="183"/>
        <n v="165"/>
        <n v="113"/>
        <n v="109"/>
        <n v="214"/>
        <n v="204"/>
        <n v="155"/>
        <n v="241"/>
        <n v="132"/>
        <n v="608"/>
        <n v="470"/>
        <n v="405"/>
        <n v="343"/>
        <n v="290"/>
        <n v="281"/>
        <n v="257"/>
        <n v="234"/>
        <n v="228"/>
        <n v="180"/>
        <n v="179"/>
        <n v="8"/>
        <n v="7"/>
        <n v="6"/>
        <n v="5"/>
        <n v="9"/>
        <n v="4"/>
        <n v="3"/>
        <n v="2"/>
      </sharedItems>
    </cacheField>
    <cacheField name="構成比" numFmtId="0" sqlType="3">
      <sharedItems containsSemiMixedTypes="0" containsString="0" containsNumber="1" minValue="0.99" maxValue="11.76" count="377">
        <n v="5.32"/>
        <n v="3.66"/>
        <n v="2.75"/>
        <n v="2.59"/>
        <n v="2.48"/>
        <n v="2.46"/>
        <n v="2.39"/>
        <n v="1.95"/>
        <n v="1.92"/>
        <n v="1.89"/>
        <n v="1.67"/>
        <n v="1.64"/>
        <n v="1.55"/>
        <n v="1.52"/>
        <n v="1.27"/>
        <n v="1.25"/>
        <n v="1.23"/>
        <n v="1.22"/>
        <n v="1.1499999999999999"/>
        <n v="5.41"/>
        <n v="3.08"/>
        <n v="2.83"/>
        <n v="2.76"/>
        <n v="2.44"/>
        <n v="2.36"/>
        <n v="2.35"/>
        <n v="2.0499999999999998"/>
        <n v="2.04"/>
        <n v="1.94"/>
        <n v="1.77"/>
        <n v="1.49"/>
        <n v="1.48"/>
        <n v="1.46"/>
        <n v="1.42"/>
        <n v="1.34"/>
        <n v="1.31"/>
        <n v="1.29"/>
        <n v="1.24"/>
        <n v="8.25"/>
        <n v="3.92"/>
        <n v="3.74"/>
        <n v="3.29"/>
        <n v="3.14"/>
        <n v="2.7"/>
        <n v="2.33"/>
        <n v="2.11"/>
        <n v="2"/>
        <n v="1.96"/>
        <n v="1.81"/>
        <n v="1.63"/>
        <n v="1.44"/>
        <n v="1.41"/>
        <n v="1.33"/>
        <n v="1.26"/>
        <n v="5.36"/>
        <n v="4.8899999999999997"/>
        <n v="4.62"/>
        <n v="4.1100000000000003"/>
        <n v="2.72"/>
        <n v="2.64"/>
        <n v="2.41"/>
        <n v="2.06"/>
        <n v="2.02"/>
        <n v="1.9"/>
        <n v="1.51"/>
        <n v="1.4"/>
        <n v="1.36"/>
        <n v="1.32"/>
        <n v="1.2"/>
        <n v="4.91"/>
        <n v="4.47"/>
        <n v="3.9"/>
        <n v="3.25"/>
        <n v="2.5299999999999998"/>
        <n v="2.4500000000000002"/>
        <n v="2.38"/>
        <n v="2.31"/>
        <n v="1.88"/>
        <n v="1.8"/>
        <n v="1.66"/>
        <n v="1.37"/>
        <n v="1.08"/>
        <n v="3.73"/>
        <n v="3.47"/>
        <n v="3.3"/>
        <n v="2.4300000000000002"/>
        <n v="2.2400000000000002"/>
        <n v="2.12"/>
        <n v="1.98"/>
        <n v="1.82"/>
        <n v="1.7"/>
        <n v="1.58"/>
        <n v="4.79"/>
        <n v="4.16"/>
        <n v="3.39"/>
        <n v="3.16"/>
        <n v="2.66"/>
        <n v="2.21"/>
        <n v="1.54"/>
        <n v="1.45"/>
        <n v="4.38"/>
        <n v="3.36"/>
        <n v="3.31"/>
        <n v="3.26"/>
        <n v="2.4"/>
        <n v="2.29"/>
        <n v="2.19"/>
        <n v="1.97"/>
        <n v="1.39"/>
        <n v="1.28"/>
        <n v="6.38"/>
        <n v="3.13"/>
        <n v="3.09"/>
        <n v="2.96"/>
        <n v="2.5099999999999998"/>
        <n v="2.2200000000000002"/>
        <n v="2.16"/>
        <n v="2.09"/>
        <n v="1.93"/>
        <n v="1.87"/>
        <n v="1.61"/>
        <n v="7.34"/>
        <n v="4.3499999999999996"/>
        <n v="3.37"/>
        <n v="3.33"/>
        <n v="3.21"/>
        <n v="2.99"/>
        <n v="2.34"/>
        <n v="1.17"/>
        <n v="5.0199999999999996"/>
        <n v="3.07"/>
        <n v="2.81"/>
        <n v="1.86"/>
        <n v="1.6"/>
        <n v="1.56"/>
        <n v="1.47"/>
        <n v="1.43"/>
        <n v="1.38"/>
        <n v="1.3"/>
        <n v="10.73"/>
        <n v="4.3099999999999996"/>
        <n v="3.43"/>
        <n v="2.84"/>
        <n v="2.69"/>
        <n v="2.17"/>
        <n v="2.14"/>
        <n v="1.68"/>
        <n v="1.65"/>
        <n v="1.35"/>
        <n v="1.19"/>
        <n v="5.26"/>
        <n v="2.87"/>
        <n v="2.73"/>
        <n v="2.56"/>
        <n v="2.4900000000000002"/>
        <n v="1.75"/>
        <n v="1.69"/>
        <n v="1.18"/>
        <n v="1.1100000000000001"/>
        <n v="1.05"/>
        <n v="5"/>
        <n v="3.01"/>
        <n v="2.97"/>
        <n v="2.2999999999999998"/>
        <n v="2.25"/>
        <n v="1.84"/>
        <n v="1.78"/>
        <n v="7.55"/>
        <n v="3.63"/>
        <n v="3.11"/>
        <n v="2.82"/>
        <n v="2.68"/>
        <n v="7.28"/>
        <n v="3.97"/>
        <n v="2.74"/>
        <n v="1.1299999999999999"/>
        <n v="1.1000000000000001"/>
        <n v="8.93"/>
        <n v="4.5"/>
        <n v="4.0999999999999996"/>
        <n v="2.8"/>
        <n v="2.4700000000000002"/>
        <n v="2.37"/>
        <n v="2.13"/>
        <n v="1.83"/>
        <n v="9.83"/>
        <n v="4.6900000000000004"/>
        <n v="4.55"/>
        <n v="3.83"/>
        <n v="3.2"/>
        <n v="2.2799999999999998"/>
        <n v="5.83"/>
        <n v="3.67"/>
        <n v="3.42"/>
        <n v="2.0099999999999998"/>
        <n v="8.76"/>
        <n v="4.1900000000000004"/>
        <n v="3.65"/>
        <n v="2.63"/>
        <n v="2.3199999999999998"/>
        <n v="1.79"/>
        <n v="1.03"/>
        <n v="0.99"/>
        <n v="4.9000000000000004"/>
        <n v="2.79"/>
        <n v="2.1800000000000002"/>
        <n v="2.1"/>
        <n v="2.0299999999999998"/>
        <n v="1.76"/>
        <n v="1.59"/>
        <n v="8.36"/>
        <n v="4.18"/>
        <n v="2.54"/>
        <n v="1.5"/>
        <n v="5.29"/>
        <n v="2.95"/>
        <n v="1.72"/>
        <n v="4.8600000000000003"/>
        <n v="3.17"/>
        <n v="3.15"/>
        <n v="3"/>
        <n v="2.94"/>
        <n v="1.1399999999999999"/>
        <n v="5.69"/>
        <n v="5.55"/>
        <n v="4.84"/>
        <n v="3.62"/>
        <n v="3.54"/>
        <n v="1.57"/>
        <n v="3.18"/>
        <n v="2.77"/>
        <n v="2.61"/>
        <n v="2.2599999999999998"/>
        <n v="1.74"/>
        <n v="1.73"/>
        <n v="2.6"/>
        <n v="2.5499999999999998"/>
        <n v="3.61"/>
        <n v="3.04"/>
        <n v="2.89"/>
        <n v="4.76"/>
        <n v="3.05"/>
        <n v="2.0699999999999998"/>
        <n v="1.71"/>
        <n v="1.62"/>
        <n v="1.53"/>
        <n v="7.76"/>
        <n v="4.97"/>
        <n v="4.5199999999999996"/>
        <n v="4.3"/>
        <n v="1.21"/>
        <n v="5.18"/>
        <n v="4.05"/>
        <n v="2.93"/>
        <n v="2.88"/>
        <n v="2.67"/>
        <n v="1.99"/>
        <n v="1.85"/>
        <n v="5.88"/>
        <n v="4.68"/>
        <n v="3.86"/>
        <n v="7.4"/>
        <n v="4"/>
        <n v="2.5"/>
        <n v="1"/>
        <n v="4.1500000000000004"/>
        <n v="2.42"/>
        <n v="7.42"/>
        <n v="4.5599999999999996"/>
        <n v="3.38"/>
        <n v="1.1599999999999999"/>
        <n v="1.1200000000000001"/>
        <n v="7.48"/>
        <n v="4.92"/>
        <n v="3.78"/>
        <n v="3.56"/>
        <n v="2.78"/>
        <n v="7.99"/>
        <n v="4.08"/>
        <n v="2.65"/>
        <n v="2.15"/>
        <n v="7.3"/>
        <n v="4.09"/>
        <n v="3.98"/>
        <n v="3.6"/>
        <n v="6.12"/>
        <n v="4.01"/>
        <n v="2.85"/>
        <n v="5.08"/>
        <n v="2.62"/>
        <n v="4.2300000000000004"/>
        <n v="3.91"/>
        <n v="3.02"/>
        <n v="6.28"/>
        <n v="4.5999999999999996"/>
        <n v="3.94"/>
        <n v="3.57"/>
        <n v="3.51"/>
        <n v="3.19"/>
        <n v="10.27"/>
        <n v="4.87"/>
        <n v="3.12"/>
        <n v="1.07"/>
        <n v="3.46"/>
        <n v="4.4800000000000004"/>
        <n v="4.29"/>
        <n v="2.2000000000000002"/>
        <n v="7.05"/>
        <n v="5.15"/>
        <n v="3.49"/>
        <n v="5.64"/>
        <n v="5.58"/>
        <n v="2.58"/>
        <n v="3.79"/>
        <n v="3.72"/>
        <n v="3.58"/>
        <n v="8.7200000000000006"/>
        <n v="4.54"/>
        <n v="3.89"/>
        <n v="10.5"/>
        <n v="4.4000000000000004"/>
        <n v="4.75"/>
        <n v="2.27"/>
        <n v="3.84"/>
        <n v="4.63"/>
        <n v="4.33"/>
        <n v="3.22"/>
        <n v="6.47"/>
        <n v="2.23"/>
        <n v="5.97"/>
        <n v="4.3600000000000003"/>
        <n v="6.96"/>
        <n v="4.24"/>
        <n v="2.91"/>
        <n v="4.12"/>
        <n v="1.91"/>
        <n v="5.22"/>
        <n v="4.22"/>
        <n v="2.57"/>
        <n v="9.2100000000000009"/>
        <n v="5.35"/>
        <n v="4.82"/>
        <n v="5.44"/>
        <n v="4.21"/>
        <n v="6.25"/>
        <n v="5.59"/>
        <n v="4.17"/>
        <n v="3.88"/>
        <n v="3.03"/>
        <n v="2.08"/>
        <n v="5.42"/>
        <n v="3.68"/>
        <n v="5.78"/>
        <n v="4.34"/>
        <n v="3.76"/>
        <n v="5.2"/>
        <n v="4.8"/>
        <n v="6.49"/>
        <n v="3.24"/>
        <n v="3.5"/>
        <n v="2.92"/>
        <n v="5.37"/>
        <n v="5.0999999999999996"/>
        <n v="3.8"/>
        <n v="3.53"/>
        <n v="3.27"/>
        <n v="7.27"/>
        <n v="6.67"/>
        <n v="6.06"/>
        <n v="3.64"/>
        <n v="5.49"/>
        <n v="6.78"/>
        <n v="4.66"/>
        <n v="10.15"/>
        <n v="11.76"/>
        <n v="4.2"/>
        <n v="2.52"/>
      </sharedItems>
    </cacheField>
    <cacheField name="総数（個人）" numFmtId="0" sqlType="4">
      <sharedItems containsSemiMixedTypes="0" containsString="0" containsNumber="1" containsInteger="1" minValue="0" maxValue="7139" count="224">
        <n v="4001"/>
        <n v="7139"/>
        <n v="5152"/>
        <n v="5171"/>
        <n v="765"/>
        <n v="5016"/>
        <n v="4247"/>
        <n v="4086"/>
        <n v="3004"/>
        <n v="3213"/>
        <n v="2547"/>
        <n v="3365"/>
        <n v="210"/>
        <n v="623"/>
        <n v="1953"/>
        <n v="603"/>
        <n v="394"/>
        <n v="2528"/>
        <n v="1346"/>
        <n v="421"/>
        <n v="1941"/>
        <n v="2290"/>
        <n v="2420"/>
        <n v="2323"/>
        <n v="2190"/>
        <n v="1918"/>
        <n v="408"/>
        <n v="1832"/>
        <n v="1871"/>
        <n v="1291"/>
        <n v="260"/>
        <n v="220"/>
        <n v="493"/>
        <n v="101"/>
        <n v="1314"/>
        <n v="918"/>
        <n v="814"/>
        <n v="600"/>
        <n v="871"/>
        <n v="114"/>
        <n v="91"/>
        <n v="87"/>
        <n v="76"/>
        <n v="64"/>
        <n v="71"/>
        <n v="70"/>
        <n v="15"/>
        <n v="52"/>
        <n v="33"/>
        <n v="41"/>
        <n v="1"/>
        <n v="16"/>
        <n v="20"/>
        <n v="3"/>
        <n v="22"/>
        <n v="8"/>
        <n v="27"/>
        <n v="12"/>
        <n v="34"/>
        <n v="6"/>
        <n v="10"/>
        <n v="54"/>
        <n v="100"/>
        <n v="99"/>
        <n v="18"/>
        <n v="59"/>
        <n v="60"/>
        <n v="14"/>
        <n v="5"/>
        <n v="48"/>
        <n v="46"/>
        <n v="7"/>
        <n v="42"/>
        <n v="24"/>
        <n v="9"/>
        <n v="4"/>
        <n v="38"/>
        <n v="55"/>
        <n v="45"/>
        <n v="25"/>
        <n v="26"/>
        <n v="21"/>
        <n v="2"/>
        <n v="13"/>
        <n v="176"/>
        <n v="81"/>
        <n v="11"/>
        <n v="57"/>
        <n v="108"/>
        <n v="105"/>
        <n v="95"/>
        <n v="82"/>
        <n v="40"/>
        <n v="68"/>
        <n v="47"/>
        <n v="49"/>
        <n v="23"/>
        <n v="19"/>
        <n v="61"/>
        <n v="43"/>
        <n v="36"/>
        <n v="35"/>
        <n v="32"/>
        <n v="134"/>
        <n v="28"/>
        <n v="77"/>
        <n v="53"/>
        <n v="17"/>
        <n v="66"/>
        <n v="80"/>
        <n v="39"/>
        <n v="0"/>
        <n v="63"/>
        <n v="30"/>
        <n v="29"/>
        <n v="188"/>
        <n v="131"/>
        <n v="97"/>
        <n v="88"/>
        <n v="51"/>
        <n v="44"/>
        <n v="67"/>
        <n v="50"/>
        <n v="129"/>
        <n v="113"/>
        <n v="89"/>
        <n v="93"/>
        <n v="84"/>
        <n v="37"/>
        <n v="69"/>
        <n v="109"/>
        <n v="112"/>
        <n v="83"/>
        <n v="58"/>
        <n v="104"/>
        <n v="121"/>
        <n v="146"/>
        <n v="116"/>
        <n v="94"/>
        <n v="62"/>
        <n v="78"/>
        <n v="126"/>
        <n v="98"/>
        <n v="130"/>
        <n v="106"/>
        <n v="56"/>
        <n v="180"/>
        <n v="145"/>
        <n v="148"/>
        <n v="123"/>
        <n v="119"/>
        <n v="90"/>
        <n v="74"/>
        <n v="128"/>
        <n v="132"/>
        <n v="661"/>
        <n v="711"/>
        <n v="424"/>
        <n v="452"/>
        <n v="373"/>
        <n v="92"/>
        <n v="120"/>
        <n v="96"/>
        <n v="143"/>
        <n v="174"/>
        <n v="175"/>
        <n v="723"/>
        <n v="399"/>
        <n v="473"/>
        <n v="363"/>
        <n v="222"/>
        <n v="127"/>
        <n v="75"/>
        <n v="224"/>
        <n v="184"/>
        <n v="638"/>
        <n v="443"/>
        <n v="400"/>
        <n v="361"/>
        <n v="358"/>
        <n v="251"/>
        <n v="212"/>
        <n v="249"/>
        <n v="168"/>
        <n v="204"/>
        <n v="31"/>
        <n v="135"/>
        <n v="115"/>
        <n v="110"/>
        <n v="65"/>
        <n v="137"/>
        <n v="85"/>
        <n v="166"/>
        <n v="117"/>
        <n v="79"/>
        <n v="136"/>
        <n v="322"/>
        <n v="236"/>
        <n v="162"/>
        <n v="149"/>
        <n v="73"/>
        <n v="218"/>
        <n v="173"/>
        <n v="102"/>
        <n v="295"/>
        <n v="122"/>
        <n v="298"/>
        <n v="72"/>
        <n v="183"/>
        <n v="179"/>
        <n v="215"/>
        <n v="138"/>
        <n v="111"/>
        <n v="201"/>
        <n v="160"/>
        <n v="86"/>
        <n v="156"/>
        <n v="198"/>
        <n v="144"/>
        <n v="289"/>
        <n v="316"/>
        <n v="276"/>
        <n v="272"/>
        <n v="181"/>
      </sharedItems>
    </cacheField>
    <cacheField name="構成比（個人）" numFmtId="0" sqlType="3">
      <sharedItems containsSemiMixedTypes="0" containsString="0" containsNumber="1" minValue="0" maxValue="15.08" count="606">
        <n v="3.88"/>
        <n v="6.92"/>
        <n v="4.99"/>
        <n v="5.01"/>
        <n v="0.74"/>
        <n v="4.8600000000000003"/>
        <n v="4.12"/>
        <n v="3.96"/>
        <n v="2.91"/>
        <n v="3.11"/>
        <n v="2.4700000000000002"/>
        <n v="3.26"/>
        <n v="0.2"/>
        <n v="0.6"/>
        <n v="1.89"/>
        <n v="0.57999999999999996"/>
        <n v="0.38"/>
        <n v="2.4500000000000002"/>
        <n v="1.3"/>
        <n v="0.41"/>
        <n v="4.5"/>
        <n v="5.31"/>
        <n v="5.61"/>
        <n v="5.39"/>
        <n v="5.08"/>
        <n v="4.45"/>
        <n v="0.95"/>
        <n v="4.25"/>
        <n v="4.34"/>
        <n v="2.99"/>
        <n v="0.51"/>
        <n v="1.1399999999999999"/>
        <n v="0.23"/>
        <n v="3.05"/>
        <n v="2.13"/>
        <n v="1.39"/>
        <n v="2.02"/>
        <n v="0.26"/>
        <n v="7.33"/>
        <n v="7.01"/>
        <n v="6.12"/>
        <n v="5.16"/>
        <n v="5.72"/>
        <n v="5.64"/>
        <n v="1.21"/>
        <n v="4.1900000000000004"/>
        <n v="2.66"/>
        <n v="3.3"/>
        <n v="0.08"/>
        <n v="1.29"/>
        <n v="1.61"/>
        <n v="0.24"/>
        <n v="1.77"/>
        <n v="0.64"/>
        <n v="2.1800000000000002"/>
        <n v="0.97"/>
        <n v="2.74"/>
        <n v="0.48"/>
        <n v="0.81"/>
        <n v="4.9800000000000004"/>
        <n v="9.23"/>
        <n v="9.1300000000000008"/>
        <n v="1.66"/>
        <n v="5.44"/>
        <n v="5.54"/>
        <n v="0.46"/>
        <n v="4.43"/>
        <n v="4.24"/>
        <n v="3.14"/>
        <n v="0.65"/>
        <n v="3.87"/>
        <n v="3.04"/>
        <n v="2.0299999999999998"/>
        <n v="0.55000000000000004"/>
        <n v="2.21"/>
        <n v="0.83"/>
        <n v="0.37"/>
        <n v="5.28"/>
        <n v="7.64"/>
        <n v="6.39"/>
        <n v="6.25"/>
        <n v="3.75"/>
        <n v="3.47"/>
        <n v="3.61"/>
        <n v="0.56000000000000005"/>
        <n v="2.78"/>
        <n v="2.92"/>
        <n v="0.28000000000000003"/>
        <n v="1.81"/>
        <n v="10.15"/>
        <n v="1.38"/>
        <n v="4.67"/>
        <n v="0.63"/>
        <n v="3.29"/>
        <n v="6.23"/>
        <n v="6.06"/>
        <n v="5.48"/>
        <n v="2.42"/>
        <n v="4.7300000000000004"/>
        <n v="0.12"/>
        <n v="0.06"/>
        <n v="0.35"/>
        <n v="0.28999999999999998"/>
        <n v="2.31"/>
        <n v="4.91"/>
        <n v="6.11"/>
        <n v="5.51"/>
        <n v="5.85"/>
        <n v="4.4800000000000004"/>
        <n v="4.04"/>
        <n v="4.22"/>
        <n v="2.93"/>
        <n v="1.98"/>
        <n v="2.2400000000000002"/>
        <n v="0.52"/>
        <n v="1.64"/>
        <n v="4.2"/>
        <n v="6.4"/>
        <n v="6.19"/>
        <n v="4.51"/>
        <n v="3.78"/>
        <n v="3.67"/>
        <n v="3.57"/>
        <n v="3.36"/>
        <n v="1.05"/>
        <n v="1.99"/>
        <n v="0.42"/>
        <n v="0.31"/>
        <n v="0.21"/>
        <n v="1.1499999999999999"/>
        <n v="4.18"/>
        <n v="10.36"/>
        <n v="2.17"/>
        <n v="5.96"/>
        <n v="5.49"/>
        <n v="4.0999999999999996"/>
        <n v="0.85"/>
        <n v="3.56"/>
        <n v="4.6399999999999997"/>
        <n v="1.31"/>
        <n v="0.62"/>
        <n v="3.25"/>
        <n v="4.72"/>
        <n v="1.7"/>
        <n v="0.39"/>
        <n v="1.55"/>
        <n v="1.62"/>
        <n v="6.33"/>
        <n v="7.68"/>
        <n v="4.13"/>
        <n v="3.74"/>
        <n v="1.54"/>
        <n v="0.67"/>
        <n v="0.86"/>
        <n v="1.34"/>
        <n v="0.19"/>
        <n v="3.07"/>
        <n v="2.59"/>
        <n v="0"/>
        <n v="1.06"/>
        <n v="1.73"/>
        <n v="4.2699999999999996"/>
        <n v="6.36"/>
        <n v="6.26"/>
        <n v="1.79"/>
        <n v="5.26"/>
        <n v="4.7699999999999996"/>
        <n v="0.4"/>
        <n v="3.28"/>
        <n v="2.98"/>
        <n v="0.3"/>
        <n v="2.88"/>
        <n v="0.7"/>
        <n v="2.2799999999999998"/>
        <n v="0.89"/>
        <n v="11.64"/>
        <n v="8.11"/>
        <n v="6.01"/>
        <n v="5.45"/>
        <n v="3.22"/>
        <n v="3.16"/>
        <n v="0.5"/>
        <n v="2.48"/>
        <n v="2.11"/>
        <n v="2.72"/>
        <n v="0.25"/>
        <n v="1.49"/>
        <n v="5.24"/>
        <n v="4.33"/>
        <n v="4.53"/>
        <n v="3.95"/>
        <n v="4.08"/>
        <n v="3.23"/>
        <n v="0.71"/>
        <n v="2.0699999999999998"/>
        <n v="1.03"/>
        <n v="1.1000000000000001"/>
        <n v="3.52"/>
        <n v="4.58"/>
        <n v="3.73"/>
        <n v="3.84"/>
        <n v="4.01"/>
        <n v="1.07"/>
        <n v="0.53"/>
        <n v="1.24"/>
        <n v="0.56999999999999995"/>
        <n v="7.43"/>
        <n v="5.63"/>
        <n v="5.71"/>
        <n v="5.14"/>
        <n v="4"/>
        <n v="3.59"/>
        <n v="4.41"/>
        <n v="3.27"/>
        <n v="1.96"/>
        <n v="0.73"/>
        <n v="2.37"/>
        <n v="2.2000000000000002"/>
        <n v="2.29"/>
        <n v="1.22"/>
        <n v="0.16"/>
        <n v="6.55"/>
        <n v="6.73"/>
        <n v="5.47"/>
        <n v="5.05"/>
        <n v="1.74"/>
        <n v="3.79"/>
        <n v="3.49"/>
        <n v="3.13"/>
        <n v="0.9"/>
        <n v="2.34"/>
        <n v="1.44"/>
        <n v="0.36"/>
        <n v="1.8"/>
        <n v="1.56"/>
        <n v="2.04"/>
        <n v="1.02"/>
        <n v="6.91"/>
        <n v="8.0500000000000007"/>
        <n v="7.18"/>
        <n v="5.92"/>
        <n v="3.19"/>
        <n v="2.86"/>
        <n v="0.93"/>
        <n v="3.86"/>
        <n v="0.47"/>
        <n v="1.46"/>
        <n v="2.19"/>
        <n v="3.06"/>
        <n v="2.39"/>
        <n v="1.26"/>
        <n v="8.66"/>
        <n v="7.77"/>
        <n v="6.88"/>
        <n v="6.71"/>
        <n v="5.58"/>
        <n v="3.92"/>
        <n v="1.1299999999999999"/>
        <n v="3.5"/>
        <n v="2.61"/>
        <n v="3.68"/>
        <n v="2.97"/>
        <n v="1.36"/>
        <n v="6.75"/>
        <n v="5.25"/>
        <n v="5.62"/>
        <n v="4.28"/>
        <n v="3.64"/>
        <n v="2.73"/>
        <n v="3.43"/>
        <n v="1.45"/>
        <n v="2.57"/>
        <n v="0.27"/>
        <n v="2.84"/>
        <n v="2.14"/>
        <n v="0.91"/>
        <n v="2.09"/>
        <n v="8.41"/>
        <n v="6.86"/>
        <n v="5.7"/>
        <n v="4.1399999999999997"/>
        <n v="3.62"/>
        <n v="3.24"/>
        <n v="1.17"/>
        <n v="0.45"/>
        <n v="2.27"/>
        <n v="1.75"/>
        <n v="0.78"/>
        <n v="1.68"/>
        <n v="1.04"/>
        <n v="5.37"/>
        <n v="7.44"/>
        <n v="5.99"/>
        <n v="4.71"/>
        <n v="4.92"/>
        <n v="0.54"/>
        <n v="0.66"/>
        <n v="0.17"/>
        <n v="3.72"/>
        <n v="0.04"/>
        <n v="9.8699999999999992"/>
        <n v="8.51"/>
        <n v="5.46"/>
        <n v="4.3099999999999996"/>
        <n v="4.5199999999999996"/>
        <n v="3.15"/>
        <n v="2.52"/>
        <n v="2.1"/>
        <n v="4.97"/>
        <n v="6.98"/>
        <n v="4.3600000000000003"/>
        <n v="3.32"/>
        <n v="2.62"/>
        <n v="3.4"/>
        <n v="1.57"/>
        <n v="1.4"/>
        <n v="5.68"/>
        <n v="2.2599999999999998"/>
        <n v="3.9"/>
        <n v="0.13"/>
        <n v="2.79"/>
        <n v="1.1100000000000001"/>
        <n v="0.22"/>
        <n v="12.53"/>
        <n v="13.48"/>
        <n v="8.0399999999999991"/>
        <n v="8.57"/>
        <n v="7.07"/>
        <n v="1.82"/>
        <n v="2.71"/>
        <n v="13.43"/>
        <n v="7.41"/>
        <n v="1"/>
        <n v="8.7899999999999991"/>
        <n v="6.74"/>
        <n v="2.4300000000000002"/>
        <n v="2.36"/>
        <n v="0.98"/>
        <n v="4.16"/>
        <n v="3.42"/>
        <n v="8.68"/>
        <n v="6.03"/>
        <n v="4.87"/>
        <n v="2.89"/>
        <n v="3.39"/>
        <n v="1.95"/>
        <n v="0.49"/>
        <n v="0.82"/>
        <n v="0.1"/>
        <n v="1.84"/>
        <n v="5.67"/>
        <n v="5.38"/>
        <n v="1.28"/>
        <n v="5.33"/>
        <n v="5.43"/>
        <n v="5.18"/>
        <n v="3.45"/>
        <n v="1.83"/>
        <n v="2.12"/>
        <n v="9.15"/>
        <n v="1.58"/>
        <n v="5.1100000000000003"/>
        <n v="0.44"/>
        <n v="2.46"/>
        <n v="0.79"/>
        <n v="2.82"/>
        <n v="3.17"/>
        <n v="11.84"/>
        <n v="7.15"/>
        <n v="1.97"/>
        <n v="7.03"/>
        <n v="4.8099999999999996"/>
        <n v="5.0599999999999996"/>
        <n v="3.82"/>
        <n v="2.96"/>
        <n v="0.99"/>
        <n v="1.48"/>
        <n v="9.9"/>
        <n v="5.97"/>
        <n v="5.89"/>
        <n v="1.71"/>
        <n v="0.77"/>
        <n v="1.37"/>
        <n v="0.32"/>
        <n v="5.42"/>
        <n v="0.8"/>
        <n v="4.9400000000000004"/>
        <n v="3.35"/>
        <n v="4.1500000000000004"/>
        <n v="1.59"/>
        <n v="3.03"/>
        <n v="1.1200000000000001"/>
        <n v="11.38"/>
        <n v="1.5"/>
        <n v="7.06"/>
        <n v="5.32"/>
        <n v="5.56"/>
        <n v="0.33"/>
        <n v="3.65"/>
        <n v="0.75"/>
        <n v="2.08"/>
        <n v="2.41"/>
        <n v="1.33"/>
        <n v="1.91"/>
        <n v="8.65"/>
        <n v="9.73"/>
        <n v="4.59"/>
        <n v="1.08"/>
        <n v="1.35"/>
        <n v="4.32"/>
        <n v="3.51"/>
        <n v="7.27"/>
        <n v="1.88"/>
        <n v="5.04"/>
        <n v="5.12"/>
        <n v="4.29"/>
        <n v="3.46"/>
        <n v="3.94"/>
        <n v="2.76"/>
        <n v="2.06"/>
        <n v="0.61"/>
        <n v="8.8800000000000008"/>
        <n v="6.51"/>
        <n v="4.47"/>
        <n v="4.8"/>
        <n v="4.83"/>
        <n v="4.1100000000000003"/>
        <n v="1.85"/>
        <n v="1.19"/>
        <n v="6.45"/>
        <n v="5.84"/>
        <n v="5.13"/>
        <n v="4.6900000000000004"/>
        <n v="0.88"/>
        <n v="3.63"/>
        <n v="3.21"/>
        <n v="9.59"/>
        <n v="7.61"/>
        <n v="5.15"/>
        <n v="4.49"/>
        <n v="0.92"/>
        <n v="0.09"/>
        <n v="1.94"/>
        <n v="7.31"/>
        <n v="1.76"/>
        <n v="6.2"/>
        <n v="5.93"/>
        <n v="4.63"/>
        <n v="3.89"/>
        <n v="4.07"/>
        <n v="3.98"/>
        <n v="2.69"/>
        <n v="1.67"/>
        <n v="11.66"/>
        <n v="3"/>
        <n v="5.65"/>
        <n v="2.5299999999999998"/>
        <n v="0.43"/>
        <n v="0.59"/>
        <n v="1.86"/>
        <n v="7.89"/>
        <n v="6.58"/>
        <n v="4.6500000000000004"/>
        <n v="4.3"/>
        <n v="2.54"/>
        <n v="0.96"/>
        <n v="2.44"/>
        <n v="6.96"/>
        <n v="6.34"/>
        <n v="4.68"/>
        <n v="2.65"/>
        <n v="2.81"/>
        <n v="1.92"/>
        <n v="1.25"/>
        <n v="11.31"/>
        <n v="6.94"/>
        <n v="6.79"/>
        <n v="6.15"/>
        <n v="0.11"/>
        <n v="2.0499999999999998"/>
        <n v="0.87"/>
        <n v="9.7200000000000006"/>
        <n v="6.24"/>
        <n v="5.0199999999999996"/>
        <n v="4.79"/>
        <n v="3.66"/>
        <n v="2.2200000000000002"/>
        <n v="4.74"/>
        <n v="2.5499999999999998"/>
        <n v="4.62"/>
        <n v="3.2"/>
        <n v="1.1599999999999999"/>
        <n v="2.7"/>
        <n v="0.03"/>
        <n v="7.19"/>
        <n v="4.09"/>
        <n v="3.71"/>
        <n v="3.41"/>
        <n v="0.15"/>
        <n v="2.5"/>
        <n v="8.2799999999999994"/>
        <n v="9.67"/>
        <n v="4.93"/>
        <n v="0.84"/>
        <n v="3.91"/>
        <n v="2.6"/>
        <n v="8.9600000000000009"/>
        <n v="3.44"/>
        <n v="6.47"/>
        <n v="6.52"/>
        <n v="6.16"/>
        <n v="2.85"/>
        <n v="0.68"/>
        <n v="1.72"/>
        <n v="9.39"/>
        <n v="5.19"/>
        <n v="3.54"/>
        <n v="2.3199999999999998"/>
        <n v="4.0199999999999996"/>
        <n v="2.38"/>
        <n v="10.99"/>
        <n v="5.75"/>
        <n v="4.2300000000000004"/>
        <n v="2.87"/>
        <n v="1.18"/>
        <n v="1.69"/>
        <n v="1.52"/>
        <n v="7.48"/>
        <n v="4.78"/>
        <n v="3.69"/>
        <n v="7.6"/>
        <n v="10.78"/>
        <n v="7.26"/>
        <n v="0.34"/>
        <n v="5.2"/>
        <n v="3.8"/>
        <n v="2.95"/>
        <n v="3.09"/>
        <n v="2.25"/>
        <n v="6.61"/>
        <n v="5.36"/>
        <n v="8.81"/>
        <n v="7.91"/>
        <n v="7.52"/>
        <n v="4.21"/>
        <n v="3.31"/>
        <n v="1.43"/>
        <n v="2.33"/>
        <n v="8"/>
        <n v="3.83"/>
        <n v="1.51"/>
        <n v="3.6"/>
        <n v="3.38"/>
        <n v="3.55"/>
        <n v="2.9"/>
        <n v="3.85"/>
        <n v="2.56"/>
        <n v="1.41"/>
        <n v="2.4900000000000002"/>
        <n v="1.27"/>
        <n v="8.9"/>
        <n v="5.83"/>
        <n v="5.34"/>
        <n v="4.05"/>
        <n v="1.78"/>
        <n v="10.65"/>
        <n v="9.06"/>
        <n v="3.34"/>
        <n v="3.02"/>
        <n v="8.1"/>
        <n v="2.64"/>
        <n v="5.29"/>
        <n v="8.64"/>
        <n v="6.17"/>
        <n v="6.7"/>
        <n v="1.23"/>
        <n v="3.7"/>
        <n v="8.02"/>
        <n v="5.35"/>
        <n v="5.17"/>
        <n v="10.4"/>
        <n v="8.09"/>
        <n v="4.17"/>
        <n v="9.17"/>
        <n v="7.5"/>
        <n v="3.33"/>
        <n v="6.67"/>
        <n v="5.03"/>
        <n v="2.23"/>
        <n v="8.49"/>
        <n v="4.03"/>
        <n v="5.52"/>
        <n v="5.0999999999999996"/>
        <n v="3.18"/>
        <n v="11.76"/>
        <n v="9.8000000000000007"/>
        <n v="5.88"/>
        <n v="4.9000000000000004"/>
        <n v="2.94"/>
        <n v="6.43"/>
        <n v="5"/>
        <n v="10.37"/>
        <n v="8.15"/>
        <n v="15.08"/>
        <n v="5.59"/>
        <n v="7.81"/>
      </sharedItems>
    </cacheField>
    <cacheField name="総数（法人）" numFmtId="0" sqlType="4">
      <sharedItems containsSemiMixedTypes="0" containsString="0" containsNumber="1" containsInteger="1" minValue="0" maxValue="7630" count="209">
        <n v="7630"/>
        <n v="878"/>
        <n v="861"/>
        <n v="507"/>
        <n v="4649"/>
        <n v="372"/>
        <n v="993"/>
        <n v="180"/>
        <n v="1197"/>
        <n v="918"/>
        <n v="1113"/>
        <n v="220"/>
        <n v="3145"/>
        <n v="2707"/>
        <n v="821"/>
        <n v="2126"/>
        <n v="2307"/>
        <n v="143"/>
        <n v="1180"/>
        <n v="2089"/>
        <n v="3339"/>
        <n v="719"/>
        <n v="342"/>
        <n v="375"/>
        <n v="186"/>
        <n v="388"/>
        <n v="1885"/>
        <n v="166"/>
        <n v="118"/>
        <n v="607"/>
        <n v="1468"/>
        <n v="1239"/>
        <n v="950"/>
        <n v="1315"/>
        <n v="71"/>
        <n v="385"/>
        <n v="492"/>
        <n v="682"/>
        <n v="384"/>
        <n v="1065"/>
        <n v="132"/>
        <n v="19"/>
        <n v="25"/>
        <n v="14"/>
        <n v="3"/>
        <n v="48"/>
        <n v="5"/>
        <n v="21"/>
        <n v="12"/>
        <n v="28"/>
        <n v="22"/>
        <n v="38"/>
        <n v="18"/>
        <n v="31"/>
        <n v="11"/>
        <n v="24"/>
        <n v="2"/>
        <n v="84"/>
        <n v="26"/>
        <n v="20"/>
        <n v="87"/>
        <n v="8"/>
        <n v="47"/>
        <n v="4"/>
        <n v="15"/>
        <n v="36"/>
        <n v="1"/>
        <n v="6"/>
        <n v="29"/>
        <n v="10"/>
        <n v="27"/>
        <n v="30"/>
        <n v="7"/>
        <n v="0"/>
        <n v="9"/>
        <n v="17"/>
        <n v="16"/>
        <n v="39"/>
        <n v="176"/>
        <n v="109"/>
        <n v="173"/>
        <n v="138"/>
        <n v="129"/>
        <n v="82"/>
        <n v="124"/>
        <n v="104"/>
        <n v="56"/>
        <n v="78"/>
        <n v="76"/>
        <n v="37"/>
        <n v="49"/>
        <n v="32"/>
        <n v="42"/>
        <n v="144"/>
        <n v="69"/>
        <n v="66"/>
        <n v="55"/>
        <n v="23"/>
        <n v="50"/>
        <n v="59"/>
        <n v="51"/>
        <n v="44"/>
        <n v="133"/>
        <n v="94"/>
        <n v="64"/>
        <n v="35"/>
        <n v="41"/>
        <n v="33"/>
        <n v="13"/>
        <n v="73"/>
        <n v="43"/>
        <n v="163"/>
        <n v="65"/>
        <n v="45"/>
        <n v="105"/>
        <n v="62"/>
        <n v="67"/>
        <n v="122"/>
        <n v="58"/>
        <n v="34"/>
        <n v="164"/>
        <n v="57"/>
        <n v="152"/>
        <n v="68"/>
        <n v="125"/>
        <n v="100"/>
        <n v="182"/>
        <n v="140"/>
        <n v="127"/>
        <n v="88"/>
        <n v="99"/>
        <n v="91"/>
        <n v="93"/>
        <n v="97"/>
        <n v="85"/>
        <n v="54"/>
        <n v="72"/>
        <n v="169"/>
        <n v="80"/>
        <n v="223"/>
        <n v="349"/>
        <n v="300"/>
        <n v="209"/>
        <n v="259"/>
        <n v="136"/>
        <n v="241"/>
        <n v="234"/>
        <n v="245"/>
        <n v="52"/>
        <n v="191"/>
        <n v="203"/>
        <n v="171"/>
        <n v="208"/>
        <n v="490"/>
        <n v="429"/>
        <n v="77"/>
        <n v="357"/>
        <n v="378"/>
        <n v="248"/>
        <n v="328"/>
        <n v="337"/>
        <n v="307"/>
        <n v="257"/>
        <n v="156"/>
        <n v="201"/>
        <n v="222"/>
        <n v="229"/>
        <n v="420"/>
        <n v="308"/>
        <n v="63"/>
        <n v="111"/>
        <n v="216"/>
        <n v="190"/>
        <n v="184"/>
        <n v="96"/>
        <n v="46"/>
        <n v="40"/>
        <n v="102"/>
        <n v="458"/>
        <n v="210"/>
        <n v="53"/>
        <n v="101"/>
        <n v="103"/>
        <n v="415"/>
        <n v="179"/>
        <n v="158"/>
        <n v="79"/>
        <n v="90"/>
        <n v="74"/>
        <n v="110"/>
        <n v="172"/>
        <n v="61"/>
        <n v="284"/>
        <n v="123"/>
        <n v="168"/>
        <n v="75"/>
        <n v="128"/>
        <n v="86"/>
        <n v="70"/>
        <n v="81"/>
        <n v="174"/>
        <n v="116"/>
        <n v="95"/>
        <n v="142"/>
        <n v="471"/>
        <n v="387"/>
        <n v="120"/>
        <n v="146"/>
        <n v="114"/>
      </sharedItems>
    </cacheField>
    <cacheField name="構成比（法人）" numFmtId="0" sqlType="3">
      <sharedItems containsSemiMixedTypes="0" containsString="0" containsNumber="1" minValue="0" maxValue="17.739999999999998" count="456">
        <n v="6.64"/>
        <n v="0.76"/>
        <n v="0.75"/>
        <n v="0.44"/>
        <n v="4.05"/>
        <n v="0.32"/>
        <n v="0.86"/>
        <n v="0.16"/>
        <n v="1.04"/>
        <n v="0.8"/>
        <n v="0.97"/>
        <n v="0.19"/>
        <n v="2.74"/>
        <n v="2.36"/>
        <n v="0.71"/>
        <n v="1.85"/>
        <n v="2.0099999999999998"/>
        <n v="0.12"/>
        <n v="1.03"/>
        <n v="1.82"/>
        <n v="6.15"/>
        <n v="1.32"/>
        <n v="0.63"/>
        <n v="0.69"/>
        <n v="0.34"/>
        <n v="3.47"/>
        <n v="0.31"/>
        <n v="0.22"/>
        <n v="1.1200000000000001"/>
        <n v="2.7"/>
        <n v="2.2799999999999998"/>
        <n v="1.75"/>
        <n v="2.42"/>
        <n v="0.13"/>
        <n v="0.91"/>
        <n v="1.26"/>
        <n v="1.96"/>
        <n v="9.07"/>
        <n v="1.3"/>
        <n v="1.72"/>
        <n v="0.96"/>
        <n v="0.21"/>
        <n v="3.3"/>
        <n v="1.44"/>
        <n v="0.82"/>
        <n v="1.92"/>
        <n v="1.51"/>
        <n v="2.61"/>
        <n v="1.24"/>
        <n v="2.13"/>
        <n v="1.65"/>
        <n v="0.14000000000000001"/>
        <n v="5.68"/>
        <n v="1.76"/>
        <n v="1.35"/>
        <n v="5.88"/>
        <n v="0.74"/>
        <n v="0.54"/>
        <n v="3.18"/>
        <n v="3.24"/>
        <n v="0.27"/>
        <n v="0.2"/>
        <n v="1.01"/>
        <n v="2.4300000000000002"/>
        <n v="7.0000000000000007E-2"/>
        <n v="0.41"/>
        <n v="0.95"/>
        <n v="0.68"/>
        <n v="1.62"/>
        <n v="4.5199999999999996"/>
        <n v="1.06"/>
        <n v="1.21"/>
        <n v="0"/>
        <n v="1.36"/>
        <n v="0.9"/>
        <n v="3.32"/>
        <n v="2.56"/>
        <n v="0.3"/>
        <n v="2.87"/>
        <n v="2.2599999999999998"/>
        <n v="2.41"/>
        <n v="4.38"/>
        <n v="2.71"/>
        <n v="4.3"/>
        <n v="3.43"/>
        <n v="3.21"/>
        <n v="2.04"/>
        <n v="3.09"/>
        <n v="0.35"/>
        <n v="0.25"/>
        <n v="2.59"/>
        <n v="1.39"/>
        <n v="2.09"/>
        <n v="1.94"/>
        <n v="1.89"/>
        <n v="0.92"/>
        <n v="4.6900000000000004"/>
        <n v="3.07"/>
        <n v="0.38"/>
        <n v="0.77"/>
        <n v="1.05"/>
        <n v="2.97"/>
        <n v="1.63"/>
        <n v="2.11"/>
        <n v="0.48"/>
        <n v="2.2999999999999998"/>
        <n v="4.58"/>
        <n v="0.33"/>
        <n v="0.65"/>
        <n v="0.55000000000000004"/>
        <n v="2.84"/>
        <n v="2.0699999999999998"/>
        <n v="1.0900000000000001"/>
        <n v="2.29"/>
        <n v="0.98"/>
        <n v="1.74"/>
        <n v="1.31"/>
        <n v="7.99"/>
        <n v="0.11"/>
        <n v="3.83"/>
        <n v="1.17"/>
        <n v="3.66"/>
        <n v="3.05"/>
        <n v="1.28"/>
        <n v="2.77"/>
        <n v="3.27"/>
        <n v="1.33"/>
        <n v="2.83"/>
        <n v="2.44"/>
        <n v="2.16"/>
        <n v="1"/>
        <n v="8.32"/>
        <n v="0.5"/>
        <n v="4.01"/>
        <n v="2.25"/>
        <n v="0.88"/>
        <n v="2.19"/>
        <n v="2.57"/>
        <n v="1.5"/>
        <n v="1.81"/>
        <n v="1.25"/>
        <n v="0.81"/>
        <n v="5.61"/>
        <n v="0.15"/>
        <n v="2.5299999999999998"/>
        <n v="0.46"/>
        <n v="1.54"/>
        <n v="1.84"/>
        <n v="1.77"/>
        <n v="9.8699999999999992"/>
        <n v="0.61"/>
        <n v="0.06"/>
        <n v="3.94"/>
        <n v="0.42"/>
        <n v="2.85"/>
        <n v="2.67"/>
        <n v="2.73"/>
        <n v="0.67"/>
        <n v="0.79"/>
        <n v="2.48"/>
        <n v="2"/>
        <n v="7.42"/>
        <n v="0.99"/>
        <n v="0.78"/>
        <n v="0.64"/>
        <n v="2.54"/>
        <n v="2.4700000000000002"/>
        <n v="2.0499999999999998"/>
        <n v="1.34"/>
        <n v="1.7"/>
        <n v="7.38"/>
        <n v="0.56000000000000005"/>
        <n v="1.79"/>
        <n v="0.89"/>
        <n v="2.52"/>
        <n v="1.68"/>
        <n v="2.1800000000000002"/>
        <n v="0.45"/>
        <n v="0.17"/>
        <n v="2.63"/>
        <n v="7.75"/>
        <n v="0.23"/>
        <n v="1.1599999999999999"/>
        <n v="2.66"/>
        <n v="2.31"/>
        <n v="2.08"/>
        <n v="8.16"/>
        <n v="0.94"/>
        <n v="0.47"/>
        <n v="3.88"/>
        <n v="1.47"/>
        <n v="0.53"/>
        <n v="2.27"/>
        <n v="0.6"/>
        <n v="1.2"/>
        <n v="10.97"/>
        <n v="0.4"/>
        <n v="1.87"/>
        <n v="3.81"/>
        <n v="0.87"/>
        <n v="3.34"/>
        <n v="2.21"/>
        <n v="1.07"/>
        <n v="11.37"/>
        <n v="5.09"/>
        <n v="1.8"/>
        <n v="0.37"/>
        <n v="3.14"/>
        <n v="3.29"/>
        <n v="2.62"/>
        <n v="7.8"/>
        <n v="0.62"/>
        <n v="3.68"/>
        <n v="3.56"/>
        <n v="2.93"/>
        <n v="1.93"/>
        <n v="9.2799999999999994"/>
        <n v="0.83"/>
        <n v="0.09"/>
        <n v="0.93"/>
        <n v="4.17"/>
        <n v="4.63"/>
        <n v="0.84"/>
        <n v="0.28000000000000003"/>
        <n v="3.23"/>
        <n v="2.2400000000000002"/>
        <n v="3"/>
        <n v="7.17"/>
        <n v="4.3600000000000003"/>
        <n v="4.6100000000000003"/>
        <n v="0.51"/>
        <n v="2.9"/>
        <n v="1.45"/>
        <n v="1.88"/>
        <n v="5.57"/>
        <n v="0.85"/>
        <n v="0.08"/>
        <n v="0.7"/>
        <n v="3.25"/>
        <n v="2.5499999999999998"/>
        <n v="2.17"/>
        <n v="1.08"/>
        <n v="7.13"/>
        <n v="2.79"/>
        <n v="3.38"/>
        <n v="1.48"/>
        <n v="4.33"/>
        <n v="3.72"/>
        <n v="1.69"/>
        <n v="2.99"/>
        <n v="3.04"/>
        <n v="2.37"/>
        <n v="2.12"/>
        <n v="1.1499999999999999"/>
        <n v="0.52"/>
        <n v="1.99"/>
        <n v="4.1100000000000003"/>
        <n v="3.42"/>
        <n v="3.62"/>
        <n v="2.94"/>
        <n v="2.46"/>
        <n v="1.49"/>
        <n v="5.52"/>
        <n v="1.46"/>
        <n v="2.5"/>
        <n v="2.15"/>
        <n v="2.75"/>
        <n v="0.72"/>
        <n v="4.87"/>
        <n v="1.57"/>
        <n v="1.22"/>
        <n v="1.42"/>
        <n v="0.18"/>
        <n v="4.59"/>
        <n v="2.39"/>
        <n v="4.22"/>
        <n v="3.58"/>
        <n v="3.31"/>
        <n v="1.1000000000000001"/>
        <n v="1.56"/>
        <n v="8.56"/>
        <n v="3.89"/>
        <n v="2.33"/>
        <n v="0.57999999999999996"/>
        <n v="2.72"/>
        <n v="0.66"/>
        <n v="5.67"/>
        <n v="3.2"/>
        <n v="3.37"/>
        <n v="0.49"/>
        <n v="1.4"/>
        <n v="0.36"/>
        <n v="4.8099999999999996"/>
        <n v="3.73"/>
        <n v="0.24"/>
        <n v="7.49"/>
        <n v="5.22"/>
        <n v="4.26"/>
        <n v="3.75"/>
        <n v="0.59"/>
        <n v="2.35"/>
        <n v="0.28999999999999998"/>
        <n v="1.98"/>
        <n v="1.91"/>
        <n v="6.72"/>
        <n v="3.84"/>
        <n v="3.52"/>
        <n v="1.6"/>
        <n v="0.56999999999999995"/>
        <n v="6.44"/>
        <n v="4.16"/>
        <n v="3.22"/>
        <n v="0.73"/>
        <n v="2.34"/>
        <n v="10.57"/>
        <n v="4.8499999999999996"/>
        <n v="4.25"/>
        <n v="1.02"/>
        <n v="1.78"/>
        <n v="9.76"/>
        <n v="1.61"/>
        <n v="1.1399999999999999"/>
        <n v="3.51"/>
        <n v="3.98"/>
        <n v="3.41"/>
        <n v="1.71"/>
        <n v="11.05"/>
        <n v="4.7699999999999996"/>
        <n v="4.21"/>
        <n v="0.43"/>
        <n v="2.1"/>
        <n v="2.02"/>
        <n v="1.73"/>
        <n v="7.33"/>
        <n v="7.47"/>
        <n v="2.4"/>
        <n v="8.02"/>
        <n v="1.37"/>
        <n v="0.26"/>
        <n v="3.45"/>
        <n v="1.52"/>
        <n v="4.49"/>
        <n v="3.87"/>
        <n v="4"/>
        <n v="6.18"/>
        <n v="2.64"/>
        <n v="6.52"/>
        <n v="1.55"/>
        <n v="2.96"/>
        <n v="2.58"/>
        <n v="2.81"/>
        <n v="10.84"/>
        <n v="4.7"/>
        <n v="4.2"/>
        <n v="1.41"/>
        <n v="5.66"/>
        <n v="5.1100000000000003"/>
        <n v="3.1"/>
        <n v="1.27"/>
        <n v="3.26"/>
        <n v="2.86"/>
        <n v="5.7"/>
        <n v="5.81"/>
        <n v="1.97"/>
        <n v="6.63"/>
        <n v="0.05"/>
        <n v="4.46"/>
        <n v="3.06"/>
        <n v="6.46"/>
        <n v="4.78"/>
        <n v="4.07"/>
        <n v="5.36"/>
        <n v="6.43"/>
        <n v="1.53"/>
        <n v="2.6"/>
        <n v="2.14"/>
        <n v="6.67"/>
        <n v="4.88"/>
        <n v="1.86"/>
        <n v="5.47"/>
        <n v="3.44"/>
        <n v="12.35"/>
        <n v="5.82"/>
        <n v="5.32"/>
        <n v="2.98"/>
        <n v="2.2000000000000002"/>
        <n v="2.06"/>
        <n v="6.19"/>
        <n v="4.18"/>
        <n v="5.17"/>
        <n v="3.54"/>
        <n v="0.1"/>
        <n v="3.16"/>
        <n v="2.4900000000000002"/>
        <n v="7.74"/>
        <n v="6.34"/>
        <n v="3.6"/>
        <n v="10.36"/>
        <n v="2.92"/>
        <n v="1.9"/>
        <n v="5.87"/>
        <n v="3.79"/>
        <n v="2.65"/>
        <n v="3.03"/>
        <n v="9.06"/>
        <n v="4.82"/>
        <n v="3.36"/>
        <n v="5.0599999999999996"/>
        <n v="1.67"/>
        <n v="1.83"/>
        <n v="2.38"/>
        <n v="4.8"/>
        <n v="5.0199999999999996"/>
        <n v="7.52"/>
        <n v="1.58"/>
        <n v="1.19"/>
        <n v="5.3"/>
        <n v="7.41"/>
        <n v="5.56"/>
        <n v="3.5"/>
        <n v="1.23"/>
        <n v="8.33"/>
        <n v="1.1100000000000001"/>
        <n v="5"/>
        <n v="2.2200000000000002"/>
        <n v="2.78"/>
        <n v="1.18"/>
        <n v="5.29"/>
        <n v="4.71"/>
        <n v="3.53"/>
        <n v="6.61"/>
        <n v="4.96"/>
        <n v="4.13"/>
        <n v="11.84"/>
        <n v="3.95"/>
        <n v="7.45"/>
        <n v="4.3499999999999996"/>
        <n v="3.11"/>
        <n v="6.99"/>
        <n v="3.15"/>
        <n v="5.59"/>
        <n v="2.4500000000000002"/>
        <n v="3.85"/>
        <n v="17.739999999999998"/>
        <n v="4.84"/>
        <n v="10.75"/>
        <n v="5.38"/>
        <n v="6.45"/>
        <n v="7.14"/>
        <n v="6.12"/>
        <n v="5.0999999999999996"/>
        <n v="9.09"/>
        <n v="2.8"/>
        <n v="16.98"/>
        <n v="9.43"/>
        <n v="3.77"/>
      </sharedItems>
    </cacheField>
    <cacheField name="総数（法人以外の団体）" numFmtId="0" sqlType="4">
      <sharedItems containsSemiMixedTypes="0" containsString="0" containsNumber="1" containsInteger="1" minValue="0" maxValue="29" count="13">
        <n v="2"/>
        <n v="0"/>
        <n v="5"/>
        <n v="4"/>
        <n v="15"/>
        <n v="23"/>
        <n v="1"/>
        <n v="3"/>
        <n v="11"/>
        <n v="29"/>
        <n v="8"/>
        <n v="7"/>
        <n v="1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25">
  <r>
    <x v="0"/>
    <s v="大阪府"/>
    <x v="0"/>
    <x v="0"/>
    <n v="4"/>
    <n v="0"/>
    <n v="0"/>
    <n v="0"/>
    <n v="4"/>
    <n v="0"/>
    <x v="0"/>
  </r>
  <r>
    <x v="0"/>
    <s v="大阪府"/>
    <x v="0"/>
    <x v="1"/>
    <n v="21668"/>
    <n v="9.9"/>
    <n v="4360"/>
    <n v="4.2300000000000004"/>
    <n v="17305"/>
    <n v="15.07"/>
    <x v="1"/>
  </r>
  <r>
    <x v="0"/>
    <s v="大阪府"/>
    <x v="0"/>
    <x v="2"/>
    <n v="26971"/>
    <n v="12.33"/>
    <n v="9813"/>
    <n v="9.51"/>
    <n v="17153"/>
    <n v="14.93"/>
    <x v="2"/>
  </r>
  <r>
    <x v="0"/>
    <s v="大阪府"/>
    <x v="0"/>
    <x v="3"/>
    <n v="149"/>
    <n v="7.0000000000000007E-2"/>
    <n v="2"/>
    <n v="0"/>
    <n v="138"/>
    <n v="0.12"/>
    <x v="0"/>
  </r>
  <r>
    <x v="0"/>
    <s v="大阪府"/>
    <x v="0"/>
    <x v="4"/>
    <n v="3233"/>
    <n v="1.48"/>
    <n v="213"/>
    <n v="0.21"/>
    <n v="3014"/>
    <n v="2.62"/>
    <x v="3"/>
  </r>
  <r>
    <x v="0"/>
    <s v="大阪府"/>
    <x v="0"/>
    <x v="5"/>
    <n v="2748"/>
    <n v="1.26"/>
    <n v="691"/>
    <n v="0.67"/>
    <n v="2047"/>
    <n v="1.78"/>
    <x v="4"/>
  </r>
  <r>
    <x v="0"/>
    <s v="大阪府"/>
    <x v="0"/>
    <x v="6"/>
    <n v="46834"/>
    <n v="21.4"/>
    <n v="20430"/>
    <n v="19.8"/>
    <n v="26384"/>
    <n v="22.97"/>
    <x v="5"/>
  </r>
  <r>
    <x v="0"/>
    <s v="大阪府"/>
    <x v="0"/>
    <x v="7"/>
    <n v="1196"/>
    <n v="0.55000000000000004"/>
    <n v="164"/>
    <n v="0.16"/>
    <n v="1032"/>
    <n v="0.9"/>
    <x v="0"/>
  </r>
  <r>
    <x v="0"/>
    <s v="大阪府"/>
    <x v="0"/>
    <x v="8"/>
    <n v="29549"/>
    <n v="13.5"/>
    <n v="8313"/>
    <n v="8.06"/>
    <n v="21196"/>
    <n v="18.45"/>
    <x v="6"/>
  </r>
  <r>
    <x v="0"/>
    <s v="大阪府"/>
    <x v="0"/>
    <x v="9"/>
    <n v="14809"/>
    <n v="6.77"/>
    <n v="7742"/>
    <n v="7.5"/>
    <n v="7030"/>
    <n v="6.12"/>
    <x v="7"/>
  </r>
  <r>
    <x v="0"/>
    <s v="大阪府"/>
    <x v="0"/>
    <x v="10"/>
    <n v="26582"/>
    <n v="12.15"/>
    <n v="22382"/>
    <n v="21.69"/>
    <n v="4178"/>
    <n v="3.64"/>
    <x v="4"/>
  </r>
  <r>
    <x v="0"/>
    <s v="大阪府"/>
    <x v="0"/>
    <x v="11"/>
    <n v="20326"/>
    <n v="9.2899999999999991"/>
    <n v="15524"/>
    <n v="15.05"/>
    <n v="4771"/>
    <n v="4.1500000000000004"/>
    <x v="8"/>
  </r>
  <r>
    <x v="0"/>
    <s v="大阪府"/>
    <x v="0"/>
    <x v="12"/>
    <n v="6621"/>
    <n v="3.03"/>
    <n v="4512"/>
    <n v="4.37"/>
    <n v="1902"/>
    <n v="1.66"/>
    <x v="9"/>
  </r>
  <r>
    <x v="0"/>
    <s v="大阪府"/>
    <x v="0"/>
    <x v="13"/>
    <n v="11238"/>
    <n v="5.14"/>
    <n v="6926"/>
    <n v="6.71"/>
    <n v="4071"/>
    <n v="3.54"/>
    <x v="10"/>
  </r>
  <r>
    <x v="0"/>
    <s v="大阪府"/>
    <x v="0"/>
    <x v="14"/>
    <n v="6887"/>
    <n v="3.15"/>
    <n v="2095"/>
    <n v="2.0299999999999998"/>
    <n v="4631"/>
    <n v="4.03"/>
    <x v="11"/>
  </r>
  <r>
    <x v="0"/>
    <s v="大阪市"/>
    <x v="1"/>
    <x v="0"/>
    <n v="0"/>
    <n v="0"/>
    <n v="0"/>
    <n v="0"/>
    <n v="0"/>
    <n v="0"/>
    <x v="0"/>
  </r>
  <r>
    <x v="0"/>
    <s v="大阪市"/>
    <x v="1"/>
    <x v="1"/>
    <n v="7051"/>
    <n v="7.22"/>
    <n v="1123"/>
    <n v="2.6"/>
    <n v="5926"/>
    <n v="10.92"/>
    <x v="12"/>
  </r>
  <r>
    <x v="0"/>
    <s v="大阪市"/>
    <x v="1"/>
    <x v="2"/>
    <n v="10788"/>
    <n v="11.05"/>
    <n v="3730"/>
    <n v="8.65"/>
    <n v="7055"/>
    <n v="13"/>
    <x v="1"/>
  </r>
  <r>
    <x v="0"/>
    <s v="大阪市"/>
    <x v="1"/>
    <x v="3"/>
    <n v="65"/>
    <n v="7.0000000000000007E-2"/>
    <n v="0"/>
    <n v="0"/>
    <n v="64"/>
    <n v="0.12"/>
    <x v="0"/>
  </r>
  <r>
    <x v="0"/>
    <s v="大阪市"/>
    <x v="1"/>
    <x v="4"/>
    <n v="2257"/>
    <n v="2.31"/>
    <n v="150"/>
    <n v="0.35"/>
    <n v="2102"/>
    <n v="3.87"/>
    <x v="13"/>
  </r>
  <r>
    <x v="0"/>
    <s v="大阪市"/>
    <x v="1"/>
    <x v="5"/>
    <n v="1143"/>
    <n v="1.17"/>
    <n v="260"/>
    <n v="0.6"/>
    <n v="879"/>
    <n v="1.62"/>
    <x v="2"/>
  </r>
  <r>
    <x v="0"/>
    <s v="大阪市"/>
    <x v="1"/>
    <x v="6"/>
    <n v="22854"/>
    <n v="23.41"/>
    <n v="8418"/>
    <n v="19.52"/>
    <n v="14431"/>
    <n v="26.59"/>
    <x v="13"/>
  </r>
  <r>
    <x v="0"/>
    <s v="大阪市"/>
    <x v="1"/>
    <x v="7"/>
    <n v="606"/>
    <n v="0.62"/>
    <n v="50"/>
    <n v="0.12"/>
    <n v="556"/>
    <n v="1.02"/>
    <x v="0"/>
  </r>
  <r>
    <x v="0"/>
    <s v="大阪市"/>
    <x v="1"/>
    <x v="8"/>
    <n v="13040"/>
    <n v="13.36"/>
    <n v="3581"/>
    <n v="8.3000000000000007"/>
    <n v="9442"/>
    <n v="17.39"/>
    <x v="14"/>
  </r>
  <r>
    <x v="0"/>
    <s v="大阪市"/>
    <x v="1"/>
    <x v="9"/>
    <n v="9747"/>
    <n v="9.98"/>
    <n v="5256"/>
    <n v="12.19"/>
    <n v="4469"/>
    <n v="8.23"/>
    <x v="15"/>
  </r>
  <r>
    <x v="0"/>
    <s v="大阪市"/>
    <x v="1"/>
    <x v="10"/>
    <n v="13206"/>
    <n v="13.53"/>
    <n v="10740"/>
    <n v="24.9"/>
    <n v="2460"/>
    <n v="4.53"/>
    <x v="2"/>
  </r>
  <r>
    <x v="0"/>
    <s v="大阪市"/>
    <x v="1"/>
    <x v="11"/>
    <n v="7385"/>
    <n v="7.56"/>
    <n v="5269"/>
    <n v="12.22"/>
    <n v="2113"/>
    <n v="3.89"/>
    <x v="1"/>
  </r>
  <r>
    <x v="0"/>
    <s v="大阪市"/>
    <x v="1"/>
    <x v="12"/>
    <n v="2102"/>
    <n v="2.15"/>
    <n v="1265"/>
    <n v="2.93"/>
    <n v="798"/>
    <n v="1.47"/>
    <x v="16"/>
  </r>
  <r>
    <x v="0"/>
    <s v="大阪市"/>
    <x v="1"/>
    <x v="13"/>
    <n v="4328"/>
    <n v="4.43"/>
    <n v="2720"/>
    <n v="6.31"/>
    <n v="1551"/>
    <n v="2.86"/>
    <x v="17"/>
  </r>
  <r>
    <x v="0"/>
    <s v="大阪市"/>
    <x v="1"/>
    <x v="14"/>
    <n v="3068"/>
    <n v="3.14"/>
    <n v="572"/>
    <n v="1.33"/>
    <n v="2436"/>
    <n v="4.49"/>
    <x v="17"/>
  </r>
  <r>
    <x v="0"/>
    <s v="大阪市都島区"/>
    <x v="2"/>
    <x v="0"/>
    <n v="0"/>
    <n v="0"/>
    <n v="0"/>
    <n v="0"/>
    <n v="0"/>
    <n v="0"/>
    <x v="0"/>
  </r>
  <r>
    <x v="0"/>
    <s v="大阪市都島区"/>
    <x v="2"/>
    <x v="1"/>
    <n v="249"/>
    <n v="9.2100000000000009"/>
    <n v="34"/>
    <n v="2.74"/>
    <n v="215"/>
    <n v="14.77"/>
    <x v="0"/>
  </r>
  <r>
    <x v="0"/>
    <s v="大阪市都島区"/>
    <x v="2"/>
    <x v="2"/>
    <n v="254"/>
    <n v="9.4"/>
    <n v="93"/>
    <n v="7.49"/>
    <n v="161"/>
    <n v="11.06"/>
    <x v="0"/>
  </r>
  <r>
    <x v="0"/>
    <s v="大阪市都島区"/>
    <x v="2"/>
    <x v="3"/>
    <n v="3"/>
    <n v="0.11"/>
    <n v="0"/>
    <n v="0"/>
    <n v="3"/>
    <n v="0.21"/>
    <x v="0"/>
  </r>
  <r>
    <x v="0"/>
    <s v="大阪市都島区"/>
    <x v="2"/>
    <x v="4"/>
    <n v="42"/>
    <n v="1.55"/>
    <n v="3"/>
    <n v="0.24"/>
    <n v="39"/>
    <n v="2.68"/>
    <x v="0"/>
  </r>
  <r>
    <x v="0"/>
    <s v="大阪市都島区"/>
    <x v="2"/>
    <x v="5"/>
    <n v="29"/>
    <n v="1.07"/>
    <n v="16"/>
    <n v="1.29"/>
    <n v="13"/>
    <n v="0.89"/>
    <x v="0"/>
  </r>
  <r>
    <x v="0"/>
    <s v="大阪市都島区"/>
    <x v="2"/>
    <x v="6"/>
    <n v="560"/>
    <n v="20.72"/>
    <n v="224"/>
    <n v="18.05"/>
    <n v="336"/>
    <n v="23.08"/>
    <x v="0"/>
  </r>
  <r>
    <x v="0"/>
    <s v="大阪市都島区"/>
    <x v="2"/>
    <x v="7"/>
    <n v="10"/>
    <n v="0.37"/>
    <n v="2"/>
    <n v="0.16"/>
    <n v="8"/>
    <n v="0.55000000000000004"/>
    <x v="0"/>
  </r>
  <r>
    <x v="0"/>
    <s v="大阪市都島区"/>
    <x v="2"/>
    <x v="8"/>
    <n v="429"/>
    <n v="15.87"/>
    <n v="145"/>
    <n v="11.68"/>
    <n v="284"/>
    <n v="19.510000000000002"/>
    <x v="0"/>
  </r>
  <r>
    <x v="0"/>
    <s v="大阪市都島区"/>
    <x v="2"/>
    <x v="9"/>
    <n v="163"/>
    <n v="6.03"/>
    <n v="84"/>
    <n v="6.77"/>
    <n v="79"/>
    <n v="5.43"/>
    <x v="0"/>
  </r>
  <r>
    <x v="0"/>
    <s v="大阪市都島区"/>
    <x v="2"/>
    <x v="10"/>
    <n v="406"/>
    <n v="15.02"/>
    <n v="322"/>
    <n v="25.95"/>
    <n v="84"/>
    <n v="5.77"/>
    <x v="0"/>
  </r>
  <r>
    <x v="0"/>
    <s v="大阪市都島区"/>
    <x v="2"/>
    <x v="11"/>
    <n v="247"/>
    <n v="9.14"/>
    <n v="157"/>
    <n v="12.65"/>
    <n v="90"/>
    <n v="6.18"/>
    <x v="0"/>
  </r>
  <r>
    <x v="0"/>
    <s v="大阪市都島区"/>
    <x v="2"/>
    <x v="12"/>
    <n v="82"/>
    <n v="3.03"/>
    <n v="46"/>
    <n v="3.71"/>
    <n v="35"/>
    <n v="2.4"/>
    <x v="0"/>
  </r>
  <r>
    <x v="0"/>
    <s v="大阪市都島区"/>
    <x v="2"/>
    <x v="13"/>
    <n v="156"/>
    <n v="5.77"/>
    <n v="93"/>
    <n v="7.49"/>
    <n v="61"/>
    <n v="4.1900000000000004"/>
    <x v="12"/>
  </r>
  <r>
    <x v="0"/>
    <s v="大阪市都島区"/>
    <x v="2"/>
    <x v="14"/>
    <n v="73"/>
    <n v="2.7"/>
    <n v="22"/>
    <n v="1.77"/>
    <n v="48"/>
    <n v="3.3"/>
    <x v="1"/>
  </r>
  <r>
    <x v="0"/>
    <s v="大阪市福島区"/>
    <x v="3"/>
    <x v="0"/>
    <n v="0"/>
    <n v="0"/>
    <n v="0"/>
    <n v="0"/>
    <n v="0"/>
    <n v="0"/>
    <x v="0"/>
  </r>
  <r>
    <x v="0"/>
    <s v="大阪市福島区"/>
    <x v="3"/>
    <x v="1"/>
    <n v="146"/>
    <n v="5.67"/>
    <n v="12"/>
    <n v="1.1100000000000001"/>
    <n v="134"/>
    <n v="9.0500000000000007"/>
    <x v="0"/>
  </r>
  <r>
    <x v="0"/>
    <s v="大阪市福島区"/>
    <x v="3"/>
    <x v="2"/>
    <n v="243"/>
    <n v="9.43"/>
    <n v="52"/>
    <n v="4.8"/>
    <n v="191"/>
    <n v="12.91"/>
    <x v="0"/>
  </r>
  <r>
    <x v="0"/>
    <s v="大阪市福島区"/>
    <x v="3"/>
    <x v="3"/>
    <n v="3"/>
    <n v="0.12"/>
    <n v="0"/>
    <n v="0"/>
    <n v="3"/>
    <n v="0.2"/>
    <x v="0"/>
  </r>
  <r>
    <x v="0"/>
    <s v="大阪市福島区"/>
    <x v="3"/>
    <x v="4"/>
    <n v="52"/>
    <n v="2.02"/>
    <n v="3"/>
    <n v="0.28000000000000003"/>
    <n v="49"/>
    <n v="3.31"/>
    <x v="0"/>
  </r>
  <r>
    <x v="0"/>
    <s v="大阪市福島区"/>
    <x v="3"/>
    <x v="5"/>
    <n v="23"/>
    <n v="0.89"/>
    <n v="1"/>
    <n v="0.09"/>
    <n v="22"/>
    <n v="1.49"/>
    <x v="0"/>
  </r>
  <r>
    <x v="0"/>
    <s v="大阪市福島区"/>
    <x v="3"/>
    <x v="6"/>
    <n v="671"/>
    <n v="26.04"/>
    <n v="204"/>
    <n v="18.82"/>
    <n v="466"/>
    <n v="31.49"/>
    <x v="18"/>
  </r>
  <r>
    <x v="0"/>
    <s v="大阪市福島区"/>
    <x v="3"/>
    <x v="7"/>
    <n v="10"/>
    <n v="0.39"/>
    <n v="0"/>
    <n v="0"/>
    <n v="10"/>
    <n v="0.68"/>
    <x v="0"/>
  </r>
  <r>
    <x v="0"/>
    <s v="大阪市福島区"/>
    <x v="3"/>
    <x v="8"/>
    <n v="337"/>
    <n v="13.08"/>
    <n v="102"/>
    <n v="9.41"/>
    <n v="233"/>
    <n v="15.74"/>
    <x v="12"/>
  </r>
  <r>
    <x v="0"/>
    <s v="大阪市福島区"/>
    <x v="3"/>
    <x v="9"/>
    <n v="198"/>
    <n v="7.68"/>
    <n v="89"/>
    <n v="8.2100000000000009"/>
    <n v="108"/>
    <n v="7.3"/>
    <x v="0"/>
  </r>
  <r>
    <x v="0"/>
    <s v="大阪市福島区"/>
    <x v="3"/>
    <x v="10"/>
    <n v="431"/>
    <n v="16.72"/>
    <n v="345"/>
    <n v="31.83"/>
    <n v="86"/>
    <n v="5.81"/>
    <x v="0"/>
  </r>
  <r>
    <x v="0"/>
    <s v="大阪市福島区"/>
    <x v="3"/>
    <x v="11"/>
    <n v="198"/>
    <n v="7.68"/>
    <n v="143"/>
    <n v="13.19"/>
    <n v="55"/>
    <n v="3.72"/>
    <x v="0"/>
  </r>
  <r>
    <x v="0"/>
    <s v="大阪市福島区"/>
    <x v="3"/>
    <x v="12"/>
    <n v="79"/>
    <n v="3.07"/>
    <n v="45"/>
    <n v="4.1500000000000004"/>
    <n v="33"/>
    <n v="2.23"/>
    <x v="0"/>
  </r>
  <r>
    <x v="0"/>
    <s v="大阪市福島区"/>
    <x v="3"/>
    <x v="13"/>
    <n v="121"/>
    <n v="4.7"/>
    <n v="79"/>
    <n v="7.29"/>
    <n v="40"/>
    <n v="2.7"/>
    <x v="12"/>
  </r>
  <r>
    <x v="0"/>
    <s v="大阪市福島区"/>
    <x v="3"/>
    <x v="14"/>
    <n v="65"/>
    <n v="2.52"/>
    <n v="9"/>
    <n v="0.83"/>
    <n v="50"/>
    <n v="3.38"/>
    <x v="13"/>
  </r>
  <r>
    <x v="0"/>
    <s v="大阪市此花区"/>
    <x v="4"/>
    <x v="0"/>
    <n v="0"/>
    <n v="0"/>
    <n v="0"/>
    <n v="0"/>
    <n v="0"/>
    <n v="0"/>
    <x v="0"/>
  </r>
  <r>
    <x v="0"/>
    <s v="大阪市此花区"/>
    <x v="4"/>
    <x v="1"/>
    <n v="178"/>
    <n v="12.84"/>
    <n v="37"/>
    <n v="5.14"/>
    <n v="141"/>
    <n v="21.27"/>
    <x v="0"/>
  </r>
  <r>
    <x v="0"/>
    <s v="大阪市此花区"/>
    <x v="4"/>
    <x v="2"/>
    <n v="126"/>
    <n v="9.09"/>
    <n v="30"/>
    <n v="4.17"/>
    <n v="96"/>
    <n v="14.48"/>
    <x v="0"/>
  </r>
  <r>
    <x v="0"/>
    <s v="大阪市此花区"/>
    <x v="4"/>
    <x v="3"/>
    <n v="2"/>
    <n v="0.14000000000000001"/>
    <n v="0"/>
    <n v="0"/>
    <n v="2"/>
    <n v="0.3"/>
    <x v="0"/>
  </r>
  <r>
    <x v="0"/>
    <s v="大阪市此花区"/>
    <x v="4"/>
    <x v="4"/>
    <n v="18"/>
    <n v="1.3"/>
    <n v="1"/>
    <n v="0.14000000000000001"/>
    <n v="17"/>
    <n v="2.56"/>
    <x v="0"/>
  </r>
  <r>
    <x v="0"/>
    <s v="大阪市此花区"/>
    <x v="4"/>
    <x v="5"/>
    <n v="45"/>
    <n v="3.25"/>
    <n v="6"/>
    <n v="0.83"/>
    <n v="39"/>
    <n v="5.88"/>
    <x v="0"/>
  </r>
  <r>
    <x v="0"/>
    <s v="大阪市此花区"/>
    <x v="4"/>
    <x v="6"/>
    <n v="297"/>
    <n v="21.43"/>
    <n v="167"/>
    <n v="23.19"/>
    <n v="130"/>
    <n v="19.61"/>
    <x v="0"/>
  </r>
  <r>
    <x v="0"/>
    <s v="大阪市此花区"/>
    <x v="4"/>
    <x v="7"/>
    <n v="6"/>
    <n v="0.43"/>
    <n v="1"/>
    <n v="0.14000000000000001"/>
    <n v="5"/>
    <n v="0.75"/>
    <x v="0"/>
  </r>
  <r>
    <x v="0"/>
    <s v="大阪市此花区"/>
    <x v="4"/>
    <x v="8"/>
    <n v="148"/>
    <n v="10.68"/>
    <n v="78"/>
    <n v="10.83"/>
    <n v="70"/>
    <n v="10.56"/>
    <x v="0"/>
  </r>
  <r>
    <x v="0"/>
    <s v="大阪市此花区"/>
    <x v="4"/>
    <x v="9"/>
    <n v="48"/>
    <n v="3.46"/>
    <n v="23"/>
    <n v="3.19"/>
    <n v="25"/>
    <n v="3.77"/>
    <x v="0"/>
  </r>
  <r>
    <x v="0"/>
    <s v="大阪市此花区"/>
    <x v="4"/>
    <x v="10"/>
    <n v="234"/>
    <n v="16.88"/>
    <n v="196"/>
    <n v="27.22"/>
    <n v="38"/>
    <n v="5.73"/>
    <x v="0"/>
  </r>
  <r>
    <x v="0"/>
    <s v="大阪市此花区"/>
    <x v="4"/>
    <x v="11"/>
    <n v="132"/>
    <n v="9.52"/>
    <n v="106"/>
    <n v="14.72"/>
    <n v="26"/>
    <n v="3.92"/>
    <x v="0"/>
  </r>
  <r>
    <x v="0"/>
    <s v="大阪市此花区"/>
    <x v="4"/>
    <x v="12"/>
    <n v="41"/>
    <n v="2.96"/>
    <n v="32"/>
    <n v="4.4400000000000004"/>
    <n v="8"/>
    <n v="1.21"/>
    <x v="0"/>
  </r>
  <r>
    <x v="0"/>
    <s v="大阪市此花区"/>
    <x v="4"/>
    <x v="13"/>
    <n v="59"/>
    <n v="4.26"/>
    <n v="37"/>
    <n v="5.14"/>
    <n v="21"/>
    <n v="3.17"/>
    <x v="18"/>
  </r>
  <r>
    <x v="0"/>
    <s v="大阪市此花区"/>
    <x v="4"/>
    <x v="14"/>
    <n v="52"/>
    <n v="3.75"/>
    <n v="6"/>
    <n v="0.83"/>
    <n v="45"/>
    <n v="6.79"/>
    <x v="18"/>
  </r>
  <r>
    <x v="0"/>
    <s v="大阪市西区"/>
    <x v="5"/>
    <x v="0"/>
    <n v="0"/>
    <n v="0"/>
    <n v="0"/>
    <n v="0"/>
    <n v="0"/>
    <n v="0"/>
    <x v="0"/>
  </r>
  <r>
    <x v="0"/>
    <s v="大阪市西区"/>
    <x v="5"/>
    <x v="1"/>
    <n v="347"/>
    <n v="6.02"/>
    <n v="22"/>
    <n v="1.27"/>
    <n v="325"/>
    <n v="8.09"/>
    <x v="0"/>
  </r>
  <r>
    <x v="0"/>
    <s v="大阪市西区"/>
    <x v="5"/>
    <x v="2"/>
    <n v="565"/>
    <n v="9.81"/>
    <n v="152"/>
    <n v="8.77"/>
    <n v="413"/>
    <n v="10.28"/>
    <x v="0"/>
  </r>
  <r>
    <x v="0"/>
    <s v="大阪市西区"/>
    <x v="5"/>
    <x v="3"/>
    <n v="3"/>
    <n v="0.05"/>
    <n v="0"/>
    <n v="0"/>
    <n v="3"/>
    <n v="7.0000000000000007E-2"/>
    <x v="0"/>
  </r>
  <r>
    <x v="0"/>
    <s v="大阪市西区"/>
    <x v="5"/>
    <x v="4"/>
    <n v="227"/>
    <n v="3.94"/>
    <n v="23"/>
    <n v="1.33"/>
    <n v="203"/>
    <n v="5.05"/>
    <x v="18"/>
  </r>
  <r>
    <x v="0"/>
    <s v="大阪市西区"/>
    <x v="5"/>
    <x v="5"/>
    <n v="75"/>
    <n v="1.3"/>
    <n v="2"/>
    <n v="0.12"/>
    <n v="72"/>
    <n v="1.79"/>
    <x v="18"/>
  </r>
  <r>
    <x v="0"/>
    <s v="大阪市西区"/>
    <x v="5"/>
    <x v="6"/>
    <n v="1529"/>
    <n v="26.55"/>
    <n v="273"/>
    <n v="15.74"/>
    <n v="1256"/>
    <n v="31.25"/>
    <x v="0"/>
  </r>
  <r>
    <x v="0"/>
    <s v="大阪市西区"/>
    <x v="5"/>
    <x v="7"/>
    <n v="53"/>
    <n v="0.92"/>
    <n v="4"/>
    <n v="0.23"/>
    <n v="49"/>
    <n v="1.22"/>
    <x v="0"/>
  </r>
  <r>
    <x v="0"/>
    <s v="大阪市西区"/>
    <x v="5"/>
    <x v="8"/>
    <n v="698"/>
    <n v="12.12"/>
    <n v="67"/>
    <n v="3.86"/>
    <n v="631"/>
    <n v="15.7"/>
    <x v="0"/>
  </r>
  <r>
    <x v="0"/>
    <s v="大阪市西区"/>
    <x v="5"/>
    <x v="9"/>
    <n v="856"/>
    <n v="14.86"/>
    <n v="382"/>
    <n v="22.03"/>
    <n v="474"/>
    <n v="11.79"/>
    <x v="0"/>
  </r>
  <r>
    <x v="0"/>
    <s v="大阪市西区"/>
    <x v="5"/>
    <x v="10"/>
    <n v="584"/>
    <n v="10.14"/>
    <n v="459"/>
    <n v="26.47"/>
    <n v="125"/>
    <n v="3.11"/>
    <x v="0"/>
  </r>
  <r>
    <x v="0"/>
    <s v="大阪市西区"/>
    <x v="5"/>
    <x v="11"/>
    <n v="316"/>
    <n v="5.49"/>
    <n v="196"/>
    <n v="11.3"/>
    <n v="120"/>
    <n v="2.99"/>
    <x v="0"/>
  </r>
  <r>
    <x v="0"/>
    <s v="大阪市西区"/>
    <x v="5"/>
    <x v="12"/>
    <n v="89"/>
    <n v="1.55"/>
    <n v="45"/>
    <n v="2.6"/>
    <n v="43"/>
    <n v="1.07"/>
    <x v="0"/>
  </r>
  <r>
    <x v="0"/>
    <s v="大阪市西区"/>
    <x v="5"/>
    <x v="13"/>
    <n v="158"/>
    <n v="2.74"/>
    <n v="92"/>
    <n v="5.31"/>
    <n v="65"/>
    <n v="1.62"/>
    <x v="18"/>
  </r>
  <r>
    <x v="0"/>
    <s v="大阪市西区"/>
    <x v="5"/>
    <x v="14"/>
    <n v="260"/>
    <n v="4.51"/>
    <n v="17"/>
    <n v="0.98"/>
    <n v="240"/>
    <n v="5.97"/>
    <x v="1"/>
  </r>
  <r>
    <x v="0"/>
    <s v="大阪市港区"/>
    <x v="6"/>
    <x v="0"/>
    <n v="0"/>
    <n v="0"/>
    <n v="0"/>
    <n v="0"/>
    <n v="0"/>
    <n v="0"/>
    <x v="0"/>
  </r>
  <r>
    <x v="0"/>
    <s v="大阪市港区"/>
    <x v="6"/>
    <x v="1"/>
    <n v="245"/>
    <n v="11.07"/>
    <n v="61"/>
    <n v="5.25"/>
    <n v="184"/>
    <n v="17.62"/>
    <x v="0"/>
  </r>
  <r>
    <x v="0"/>
    <s v="大阪市港区"/>
    <x v="6"/>
    <x v="2"/>
    <n v="366"/>
    <n v="16.53"/>
    <n v="163"/>
    <n v="14.03"/>
    <n v="203"/>
    <n v="19.440000000000001"/>
    <x v="0"/>
  </r>
  <r>
    <x v="0"/>
    <s v="大阪市港区"/>
    <x v="6"/>
    <x v="3"/>
    <n v="1"/>
    <n v="0.05"/>
    <n v="0"/>
    <n v="0"/>
    <n v="1"/>
    <n v="0.1"/>
    <x v="0"/>
  </r>
  <r>
    <x v="0"/>
    <s v="大阪市港区"/>
    <x v="6"/>
    <x v="4"/>
    <n v="10"/>
    <n v="0.45"/>
    <n v="1"/>
    <n v="0.09"/>
    <n v="9"/>
    <n v="0.86"/>
    <x v="0"/>
  </r>
  <r>
    <x v="0"/>
    <s v="大阪市港区"/>
    <x v="6"/>
    <x v="5"/>
    <n v="68"/>
    <n v="3.07"/>
    <n v="12"/>
    <n v="1.03"/>
    <n v="56"/>
    <n v="5.36"/>
    <x v="0"/>
  </r>
  <r>
    <x v="0"/>
    <s v="大阪市港区"/>
    <x v="6"/>
    <x v="6"/>
    <n v="528"/>
    <n v="23.85"/>
    <n v="278"/>
    <n v="23.92"/>
    <n v="249"/>
    <n v="23.85"/>
    <x v="18"/>
  </r>
  <r>
    <x v="0"/>
    <s v="大阪市港区"/>
    <x v="6"/>
    <x v="7"/>
    <n v="7"/>
    <n v="0.32"/>
    <n v="0"/>
    <n v="0"/>
    <n v="7"/>
    <n v="0.67"/>
    <x v="0"/>
  </r>
  <r>
    <x v="0"/>
    <s v="大阪市港区"/>
    <x v="6"/>
    <x v="8"/>
    <n v="211"/>
    <n v="9.5299999999999994"/>
    <n v="77"/>
    <n v="6.63"/>
    <n v="134"/>
    <n v="12.84"/>
    <x v="0"/>
  </r>
  <r>
    <x v="0"/>
    <s v="大阪市港区"/>
    <x v="6"/>
    <x v="9"/>
    <n v="74"/>
    <n v="3.34"/>
    <n v="31"/>
    <n v="2.67"/>
    <n v="43"/>
    <n v="4.12"/>
    <x v="0"/>
  </r>
  <r>
    <x v="0"/>
    <s v="大阪市港区"/>
    <x v="6"/>
    <x v="10"/>
    <n v="318"/>
    <n v="14.36"/>
    <n v="279"/>
    <n v="24.01"/>
    <n v="38"/>
    <n v="3.64"/>
    <x v="18"/>
  </r>
  <r>
    <x v="0"/>
    <s v="大阪市港区"/>
    <x v="6"/>
    <x v="11"/>
    <n v="190"/>
    <n v="8.58"/>
    <n v="159"/>
    <n v="13.68"/>
    <n v="31"/>
    <n v="2.97"/>
    <x v="0"/>
  </r>
  <r>
    <x v="0"/>
    <s v="大阪市港区"/>
    <x v="6"/>
    <x v="12"/>
    <n v="41"/>
    <n v="1.85"/>
    <n v="30"/>
    <n v="2.58"/>
    <n v="9"/>
    <n v="0.86"/>
    <x v="0"/>
  </r>
  <r>
    <x v="0"/>
    <s v="大阪市港区"/>
    <x v="6"/>
    <x v="13"/>
    <n v="101"/>
    <n v="4.5599999999999996"/>
    <n v="60"/>
    <n v="5.16"/>
    <n v="41"/>
    <n v="3.93"/>
    <x v="0"/>
  </r>
  <r>
    <x v="0"/>
    <s v="大阪市港区"/>
    <x v="6"/>
    <x v="14"/>
    <n v="54"/>
    <n v="2.44"/>
    <n v="11"/>
    <n v="0.95"/>
    <n v="39"/>
    <n v="3.74"/>
    <x v="2"/>
  </r>
  <r>
    <x v="0"/>
    <s v="大阪市大正区"/>
    <x v="7"/>
    <x v="0"/>
    <n v="0"/>
    <n v="0"/>
    <n v="0"/>
    <n v="0"/>
    <n v="0"/>
    <n v="0"/>
    <x v="0"/>
  </r>
  <r>
    <x v="0"/>
    <s v="大阪市大正区"/>
    <x v="7"/>
    <x v="1"/>
    <n v="218"/>
    <n v="11.63"/>
    <n v="44"/>
    <n v="4.62"/>
    <n v="174"/>
    <n v="18.97"/>
    <x v="0"/>
  </r>
  <r>
    <x v="0"/>
    <s v="大阪市大正区"/>
    <x v="7"/>
    <x v="2"/>
    <n v="317"/>
    <n v="16.920000000000002"/>
    <n v="106"/>
    <n v="11.12"/>
    <n v="211"/>
    <n v="23.01"/>
    <x v="0"/>
  </r>
  <r>
    <x v="0"/>
    <s v="大阪市大正区"/>
    <x v="7"/>
    <x v="3"/>
    <n v="2"/>
    <n v="0.11"/>
    <n v="0"/>
    <n v="0"/>
    <n v="2"/>
    <n v="0.22"/>
    <x v="0"/>
  </r>
  <r>
    <x v="0"/>
    <s v="大阪市大正区"/>
    <x v="7"/>
    <x v="4"/>
    <n v="16"/>
    <n v="0.85"/>
    <n v="1"/>
    <n v="0.1"/>
    <n v="15"/>
    <n v="1.64"/>
    <x v="0"/>
  </r>
  <r>
    <x v="0"/>
    <s v="大阪市大正区"/>
    <x v="7"/>
    <x v="5"/>
    <n v="63"/>
    <n v="3.36"/>
    <n v="14"/>
    <n v="1.47"/>
    <n v="49"/>
    <n v="5.34"/>
    <x v="0"/>
  </r>
  <r>
    <x v="0"/>
    <s v="大阪市大正区"/>
    <x v="7"/>
    <x v="6"/>
    <n v="440"/>
    <n v="23.48"/>
    <n v="243"/>
    <n v="25.5"/>
    <n v="197"/>
    <n v="21.48"/>
    <x v="0"/>
  </r>
  <r>
    <x v="0"/>
    <s v="大阪市大正区"/>
    <x v="7"/>
    <x v="7"/>
    <n v="4"/>
    <n v="0.21"/>
    <n v="0"/>
    <n v="0"/>
    <n v="4"/>
    <n v="0.44"/>
    <x v="0"/>
  </r>
  <r>
    <x v="0"/>
    <s v="大阪市大正区"/>
    <x v="7"/>
    <x v="8"/>
    <n v="178"/>
    <n v="9.5"/>
    <n v="67"/>
    <n v="7.03"/>
    <n v="111"/>
    <n v="12.1"/>
    <x v="0"/>
  </r>
  <r>
    <x v="0"/>
    <s v="大阪市大正区"/>
    <x v="7"/>
    <x v="9"/>
    <n v="48"/>
    <n v="2.56"/>
    <n v="16"/>
    <n v="1.68"/>
    <n v="31"/>
    <n v="3.38"/>
    <x v="0"/>
  </r>
  <r>
    <x v="0"/>
    <s v="大阪市大正区"/>
    <x v="7"/>
    <x v="10"/>
    <n v="278"/>
    <n v="14.83"/>
    <n v="244"/>
    <n v="25.6"/>
    <n v="34"/>
    <n v="3.71"/>
    <x v="0"/>
  </r>
  <r>
    <x v="0"/>
    <s v="大阪市大正区"/>
    <x v="7"/>
    <x v="11"/>
    <n v="161"/>
    <n v="8.59"/>
    <n v="135"/>
    <n v="14.17"/>
    <n v="26"/>
    <n v="2.84"/>
    <x v="0"/>
  </r>
  <r>
    <x v="0"/>
    <s v="大阪市大正区"/>
    <x v="7"/>
    <x v="12"/>
    <n v="17"/>
    <n v="0.91"/>
    <n v="11"/>
    <n v="1.1499999999999999"/>
    <n v="5"/>
    <n v="0.55000000000000004"/>
    <x v="0"/>
  </r>
  <r>
    <x v="0"/>
    <s v="大阪市大正区"/>
    <x v="7"/>
    <x v="13"/>
    <n v="67"/>
    <n v="3.58"/>
    <n v="46"/>
    <n v="4.83"/>
    <n v="19"/>
    <n v="2.0699999999999998"/>
    <x v="12"/>
  </r>
  <r>
    <x v="0"/>
    <s v="大阪市大正区"/>
    <x v="7"/>
    <x v="14"/>
    <n v="65"/>
    <n v="3.47"/>
    <n v="26"/>
    <n v="2.73"/>
    <n v="39"/>
    <n v="4.25"/>
    <x v="0"/>
  </r>
  <r>
    <x v="0"/>
    <s v="大阪市天王寺区"/>
    <x v="8"/>
    <x v="0"/>
    <n v="0"/>
    <n v="0"/>
    <n v="0"/>
    <n v="0"/>
    <n v="0"/>
    <n v="0"/>
    <x v="0"/>
  </r>
  <r>
    <x v="0"/>
    <s v="大阪市天王寺区"/>
    <x v="8"/>
    <x v="1"/>
    <n v="140"/>
    <n v="4.51"/>
    <n v="21"/>
    <n v="1.62"/>
    <n v="118"/>
    <n v="6.55"/>
    <x v="18"/>
  </r>
  <r>
    <x v="0"/>
    <s v="大阪市天王寺区"/>
    <x v="8"/>
    <x v="2"/>
    <n v="277"/>
    <n v="8.93"/>
    <n v="68"/>
    <n v="5.26"/>
    <n v="209"/>
    <n v="11.6"/>
    <x v="0"/>
  </r>
  <r>
    <x v="0"/>
    <s v="大阪市天王寺区"/>
    <x v="8"/>
    <x v="3"/>
    <n v="1"/>
    <n v="0.03"/>
    <n v="0"/>
    <n v="0"/>
    <n v="1"/>
    <n v="0.06"/>
    <x v="0"/>
  </r>
  <r>
    <x v="0"/>
    <s v="大阪市天王寺区"/>
    <x v="8"/>
    <x v="4"/>
    <n v="51"/>
    <n v="1.64"/>
    <n v="7"/>
    <n v="0.54"/>
    <n v="44"/>
    <n v="2.44"/>
    <x v="0"/>
  </r>
  <r>
    <x v="0"/>
    <s v="大阪市天王寺区"/>
    <x v="8"/>
    <x v="5"/>
    <n v="8"/>
    <n v="0.26"/>
    <n v="0"/>
    <n v="0"/>
    <n v="7"/>
    <n v="0.39"/>
    <x v="18"/>
  </r>
  <r>
    <x v="0"/>
    <s v="大阪市天王寺区"/>
    <x v="8"/>
    <x v="6"/>
    <n v="786"/>
    <n v="25.33"/>
    <n v="252"/>
    <n v="19.489999999999998"/>
    <n v="534"/>
    <n v="29.63"/>
    <x v="0"/>
  </r>
  <r>
    <x v="0"/>
    <s v="大阪市天王寺区"/>
    <x v="8"/>
    <x v="7"/>
    <n v="18"/>
    <n v="0.57999999999999996"/>
    <n v="1"/>
    <n v="0.08"/>
    <n v="17"/>
    <n v="0.94"/>
    <x v="0"/>
  </r>
  <r>
    <x v="0"/>
    <s v="大阪市天王寺区"/>
    <x v="8"/>
    <x v="8"/>
    <n v="499"/>
    <n v="16.079999999999998"/>
    <n v="118"/>
    <n v="9.1300000000000008"/>
    <n v="379"/>
    <n v="21.03"/>
    <x v="18"/>
  </r>
  <r>
    <x v="0"/>
    <s v="大阪市天王寺区"/>
    <x v="8"/>
    <x v="9"/>
    <n v="410"/>
    <n v="13.21"/>
    <n v="245"/>
    <n v="18.95"/>
    <n v="165"/>
    <n v="9.16"/>
    <x v="0"/>
  </r>
  <r>
    <x v="0"/>
    <s v="大阪市天王寺区"/>
    <x v="8"/>
    <x v="10"/>
    <n v="355"/>
    <n v="11.44"/>
    <n v="282"/>
    <n v="21.81"/>
    <n v="73"/>
    <n v="4.05"/>
    <x v="0"/>
  </r>
  <r>
    <x v="0"/>
    <s v="大阪市天王寺区"/>
    <x v="8"/>
    <x v="11"/>
    <n v="225"/>
    <n v="7.25"/>
    <n v="122"/>
    <n v="9.44"/>
    <n v="103"/>
    <n v="5.72"/>
    <x v="0"/>
  </r>
  <r>
    <x v="0"/>
    <s v="大阪市天王寺区"/>
    <x v="8"/>
    <x v="12"/>
    <n v="122"/>
    <n v="3.93"/>
    <n v="63"/>
    <n v="4.87"/>
    <n v="57"/>
    <n v="3.16"/>
    <x v="18"/>
  </r>
  <r>
    <x v="0"/>
    <s v="大阪市天王寺区"/>
    <x v="8"/>
    <x v="13"/>
    <n v="146"/>
    <n v="4.71"/>
    <n v="98"/>
    <n v="7.58"/>
    <n v="47"/>
    <n v="2.61"/>
    <x v="18"/>
  </r>
  <r>
    <x v="0"/>
    <s v="大阪市天王寺区"/>
    <x v="8"/>
    <x v="14"/>
    <n v="65"/>
    <n v="2.09"/>
    <n v="16"/>
    <n v="1.24"/>
    <n v="48"/>
    <n v="2.66"/>
    <x v="18"/>
  </r>
  <r>
    <x v="0"/>
    <s v="大阪市浪速区"/>
    <x v="9"/>
    <x v="0"/>
    <n v="0"/>
    <n v="0"/>
    <n v="0"/>
    <n v="0"/>
    <n v="0"/>
    <n v="0"/>
    <x v="0"/>
  </r>
  <r>
    <x v="0"/>
    <s v="大阪市浪速区"/>
    <x v="9"/>
    <x v="1"/>
    <n v="167"/>
    <n v="6.32"/>
    <n v="13"/>
    <n v="1.25"/>
    <n v="154"/>
    <n v="9.64"/>
    <x v="0"/>
  </r>
  <r>
    <x v="0"/>
    <s v="大阪市浪速区"/>
    <x v="9"/>
    <x v="2"/>
    <n v="213"/>
    <n v="8.06"/>
    <n v="73"/>
    <n v="7.01"/>
    <n v="140"/>
    <n v="8.76"/>
    <x v="0"/>
  </r>
  <r>
    <x v="0"/>
    <s v="大阪市浪速区"/>
    <x v="9"/>
    <x v="3"/>
    <n v="1"/>
    <n v="0.04"/>
    <n v="0"/>
    <n v="0"/>
    <n v="1"/>
    <n v="0.06"/>
    <x v="0"/>
  </r>
  <r>
    <x v="0"/>
    <s v="大阪市浪速区"/>
    <x v="9"/>
    <x v="4"/>
    <n v="39"/>
    <n v="1.48"/>
    <n v="2"/>
    <n v="0.19"/>
    <n v="36"/>
    <n v="2.25"/>
    <x v="18"/>
  </r>
  <r>
    <x v="0"/>
    <s v="大阪市浪速区"/>
    <x v="9"/>
    <x v="5"/>
    <n v="21"/>
    <n v="0.79"/>
    <n v="2"/>
    <n v="0.19"/>
    <n v="19"/>
    <n v="1.19"/>
    <x v="0"/>
  </r>
  <r>
    <x v="0"/>
    <s v="大阪市浪速区"/>
    <x v="9"/>
    <x v="6"/>
    <n v="863"/>
    <n v="32.64"/>
    <n v="301"/>
    <n v="28.89"/>
    <n v="562"/>
    <n v="35.17"/>
    <x v="0"/>
  </r>
  <r>
    <x v="0"/>
    <s v="大阪市浪速区"/>
    <x v="9"/>
    <x v="7"/>
    <n v="16"/>
    <n v="0.61"/>
    <n v="1"/>
    <n v="0.1"/>
    <n v="15"/>
    <n v="0.94"/>
    <x v="0"/>
  </r>
  <r>
    <x v="0"/>
    <s v="大阪市浪速区"/>
    <x v="9"/>
    <x v="8"/>
    <n v="438"/>
    <n v="16.57"/>
    <n v="96"/>
    <n v="9.2100000000000009"/>
    <n v="342"/>
    <n v="21.4"/>
    <x v="0"/>
  </r>
  <r>
    <x v="0"/>
    <s v="大阪市浪速区"/>
    <x v="9"/>
    <x v="9"/>
    <n v="153"/>
    <n v="5.79"/>
    <n v="68"/>
    <n v="6.53"/>
    <n v="85"/>
    <n v="5.32"/>
    <x v="0"/>
  </r>
  <r>
    <x v="0"/>
    <s v="大阪市浪速区"/>
    <x v="9"/>
    <x v="10"/>
    <n v="378"/>
    <n v="14.3"/>
    <n v="302"/>
    <n v="28.98"/>
    <n v="76"/>
    <n v="4.76"/>
    <x v="0"/>
  </r>
  <r>
    <x v="0"/>
    <s v="大阪市浪速区"/>
    <x v="9"/>
    <x v="11"/>
    <n v="156"/>
    <n v="5.9"/>
    <n v="100"/>
    <n v="9.6"/>
    <n v="56"/>
    <n v="3.5"/>
    <x v="0"/>
  </r>
  <r>
    <x v="0"/>
    <s v="大阪市浪速区"/>
    <x v="9"/>
    <x v="12"/>
    <n v="40"/>
    <n v="1.51"/>
    <n v="20"/>
    <n v="1.92"/>
    <n v="18"/>
    <n v="1.1299999999999999"/>
    <x v="18"/>
  </r>
  <r>
    <x v="0"/>
    <s v="大阪市浪速区"/>
    <x v="9"/>
    <x v="13"/>
    <n v="81"/>
    <n v="3.06"/>
    <n v="47"/>
    <n v="4.51"/>
    <n v="33"/>
    <n v="2.0699999999999998"/>
    <x v="18"/>
  </r>
  <r>
    <x v="0"/>
    <s v="大阪市浪速区"/>
    <x v="9"/>
    <x v="14"/>
    <n v="78"/>
    <n v="2.95"/>
    <n v="17"/>
    <n v="1.63"/>
    <n v="61"/>
    <n v="3.82"/>
    <x v="0"/>
  </r>
  <r>
    <x v="0"/>
    <s v="大阪市西淀川区"/>
    <x v="10"/>
    <x v="0"/>
    <n v="0"/>
    <n v="0"/>
    <n v="0"/>
    <n v="0"/>
    <n v="0"/>
    <n v="0"/>
    <x v="0"/>
  </r>
  <r>
    <x v="0"/>
    <s v="大阪市西淀川区"/>
    <x v="10"/>
    <x v="1"/>
    <n v="257"/>
    <n v="11.11"/>
    <n v="43"/>
    <n v="4.2699999999999996"/>
    <n v="214"/>
    <n v="16.440000000000001"/>
    <x v="0"/>
  </r>
  <r>
    <x v="0"/>
    <s v="大阪市西淀川区"/>
    <x v="10"/>
    <x v="2"/>
    <n v="597"/>
    <n v="25.81"/>
    <n v="135"/>
    <n v="13.41"/>
    <n v="462"/>
    <n v="35.479999999999997"/>
    <x v="0"/>
  </r>
  <r>
    <x v="0"/>
    <s v="大阪市西淀川区"/>
    <x v="10"/>
    <x v="3"/>
    <n v="3"/>
    <n v="0.13"/>
    <n v="0"/>
    <n v="0"/>
    <n v="3"/>
    <n v="0.23"/>
    <x v="0"/>
  </r>
  <r>
    <x v="0"/>
    <s v="大阪市西淀川区"/>
    <x v="10"/>
    <x v="4"/>
    <n v="11"/>
    <n v="0.48"/>
    <n v="0"/>
    <n v="0"/>
    <n v="11"/>
    <n v="0.84"/>
    <x v="0"/>
  </r>
  <r>
    <x v="0"/>
    <s v="大阪市西淀川区"/>
    <x v="10"/>
    <x v="5"/>
    <n v="34"/>
    <n v="1.47"/>
    <n v="5"/>
    <n v="0.5"/>
    <n v="29"/>
    <n v="2.23"/>
    <x v="0"/>
  </r>
  <r>
    <x v="0"/>
    <s v="大阪市西淀川区"/>
    <x v="10"/>
    <x v="6"/>
    <n v="421"/>
    <n v="18.2"/>
    <n v="215"/>
    <n v="21.35"/>
    <n v="206"/>
    <n v="15.82"/>
    <x v="0"/>
  </r>
  <r>
    <x v="0"/>
    <s v="大阪市西淀川区"/>
    <x v="10"/>
    <x v="7"/>
    <n v="6"/>
    <n v="0.26"/>
    <n v="1"/>
    <n v="0.1"/>
    <n v="5"/>
    <n v="0.38"/>
    <x v="0"/>
  </r>
  <r>
    <x v="0"/>
    <s v="大阪市西淀川区"/>
    <x v="10"/>
    <x v="8"/>
    <n v="235"/>
    <n v="10.16"/>
    <n v="72"/>
    <n v="7.15"/>
    <n v="162"/>
    <n v="12.44"/>
    <x v="18"/>
  </r>
  <r>
    <x v="0"/>
    <s v="大阪市西淀川区"/>
    <x v="10"/>
    <x v="9"/>
    <n v="67"/>
    <n v="2.9"/>
    <n v="25"/>
    <n v="2.48"/>
    <n v="42"/>
    <n v="3.23"/>
    <x v="0"/>
  </r>
  <r>
    <x v="0"/>
    <s v="大阪市西淀川区"/>
    <x v="10"/>
    <x v="10"/>
    <n v="259"/>
    <n v="11.2"/>
    <n v="224"/>
    <n v="22.24"/>
    <n v="35"/>
    <n v="2.69"/>
    <x v="0"/>
  </r>
  <r>
    <x v="0"/>
    <s v="大阪市西淀川区"/>
    <x v="10"/>
    <x v="11"/>
    <n v="178"/>
    <n v="7.7"/>
    <n v="147"/>
    <n v="14.6"/>
    <n v="31"/>
    <n v="2.38"/>
    <x v="0"/>
  </r>
  <r>
    <x v="0"/>
    <s v="大阪市西淀川区"/>
    <x v="10"/>
    <x v="12"/>
    <n v="51"/>
    <n v="2.2000000000000002"/>
    <n v="36"/>
    <n v="3.57"/>
    <n v="14"/>
    <n v="1.08"/>
    <x v="0"/>
  </r>
  <r>
    <x v="0"/>
    <s v="大阪市西淀川区"/>
    <x v="10"/>
    <x v="13"/>
    <n v="102"/>
    <n v="4.41"/>
    <n v="63"/>
    <n v="6.26"/>
    <n v="38"/>
    <n v="2.92"/>
    <x v="18"/>
  </r>
  <r>
    <x v="0"/>
    <s v="大阪市西淀川区"/>
    <x v="10"/>
    <x v="14"/>
    <n v="92"/>
    <n v="3.98"/>
    <n v="41"/>
    <n v="4.07"/>
    <n v="50"/>
    <n v="3.84"/>
    <x v="18"/>
  </r>
  <r>
    <x v="0"/>
    <s v="大阪市東淀川区"/>
    <x v="11"/>
    <x v="0"/>
    <n v="0"/>
    <n v="0"/>
    <n v="0"/>
    <n v="0"/>
    <n v="0"/>
    <n v="0"/>
    <x v="0"/>
  </r>
  <r>
    <x v="0"/>
    <s v="大阪市東淀川区"/>
    <x v="11"/>
    <x v="1"/>
    <n v="416"/>
    <n v="12.72"/>
    <n v="64"/>
    <n v="3.96"/>
    <n v="352"/>
    <n v="21.32"/>
    <x v="0"/>
  </r>
  <r>
    <x v="0"/>
    <s v="大阪市東淀川区"/>
    <x v="11"/>
    <x v="2"/>
    <n v="209"/>
    <n v="6.39"/>
    <n v="55"/>
    <n v="3.41"/>
    <n v="154"/>
    <n v="9.33"/>
    <x v="0"/>
  </r>
  <r>
    <x v="0"/>
    <s v="大阪市東淀川区"/>
    <x v="11"/>
    <x v="3"/>
    <n v="5"/>
    <n v="0.15"/>
    <n v="0"/>
    <n v="0"/>
    <n v="4"/>
    <n v="0.24"/>
    <x v="0"/>
  </r>
  <r>
    <x v="0"/>
    <s v="大阪市東淀川区"/>
    <x v="11"/>
    <x v="4"/>
    <n v="52"/>
    <n v="1.59"/>
    <n v="2"/>
    <n v="0.12"/>
    <n v="50"/>
    <n v="3.03"/>
    <x v="0"/>
  </r>
  <r>
    <x v="0"/>
    <s v="大阪市東淀川区"/>
    <x v="11"/>
    <x v="5"/>
    <n v="48"/>
    <n v="1.47"/>
    <n v="24"/>
    <n v="1.49"/>
    <n v="24"/>
    <n v="1.45"/>
    <x v="0"/>
  </r>
  <r>
    <x v="0"/>
    <s v="大阪市東淀川区"/>
    <x v="11"/>
    <x v="6"/>
    <n v="567"/>
    <n v="17.34"/>
    <n v="253"/>
    <n v="15.67"/>
    <n v="314"/>
    <n v="19.02"/>
    <x v="0"/>
  </r>
  <r>
    <x v="0"/>
    <s v="大阪市東淀川区"/>
    <x v="11"/>
    <x v="7"/>
    <n v="21"/>
    <n v="0.64"/>
    <n v="3"/>
    <n v="0.19"/>
    <n v="18"/>
    <n v="1.0900000000000001"/>
    <x v="0"/>
  </r>
  <r>
    <x v="0"/>
    <s v="大阪市東淀川区"/>
    <x v="11"/>
    <x v="8"/>
    <n v="625"/>
    <n v="19.11"/>
    <n v="267"/>
    <n v="16.53"/>
    <n v="357"/>
    <n v="21.62"/>
    <x v="18"/>
  </r>
  <r>
    <x v="0"/>
    <s v="大阪市東淀川区"/>
    <x v="11"/>
    <x v="9"/>
    <n v="164"/>
    <n v="5.0199999999999996"/>
    <n v="74"/>
    <n v="4.58"/>
    <n v="90"/>
    <n v="5.45"/>
    <x v="0"/>
  </r>
  <r>
    <x v="0"/>
    <s v="大阪市東淀川区"/>
    <x v="11"/>
    <x v="10"/>
    <n v="426"/>
    <n v="13.03"/>
    <n v="378"/>
    <n v="23.41"/>
    <n v="48"/>
    <n v="2.91"/>
    <x v="0"/>
  </r>
  <r>
    <x v="0"/>
    <s v="大阪市東淀川区"/>
    <x v="11"/>
    <x v="11"/>
    <n v="358"/>
    <n v="10.95"/>
    <n v="289"/>
    <n v="17.89"/>
    <n v="69"/>
    <n v="4.18"/>
    <x v="0"/>
  </r>
  <r>
    <x v="0"/>
    <s v="大阪市東淀川区"/>
    <x v="11"/>
    <x v="12"/>
    <n v="86"/>
    <n v="2.63"/>
    <n v="61"/>
    <n v="3.78"/>
    <n v="24"/>
    <n v="1.45"/>
    <x v="0"/>
  </r>
  <r>
    <x v="0"/>
    <s v="大阪市東淀川区"/>
    <x v="11"/>
    <x v="13"/>
    <n v="198"/>
    <n v="6.06"/>
    <n v="125"/>
    <n v="7.74"/>
    <n v="72"/>
    <n v="4.3600000000000003"/>
    <x v="18"/>
  </r>
  <r>
    <x v="0"/>
    <s v="大阪市東淀川区"/>
    <x v="11"/>
    <x v="14"/>
    <n v="95"/>
    <n v="2.91"/>
    <n v="20"/>
    <n v="1.24"/>
    <n v="75"/>
    <n v="4.54"/>
    <x v="0"/>
  </r>
  <r>
    <x v="0"/>
    <s v="大阪市東成区"/>
    <x v="12"/>
    <x v="0"/>
    <n v="0"/>
    <n v="0"/>
    <n v="0"/>
    <n v="0"/>
    <n v="0"/>
    <n v="0"/>
    <x v="0"/>
  </r>
  <r>
    <x v="0"/>
    <s v="大阪市東成区"/>
    <x v="12"/>
    <x v="1"/>
    <n v="184"/>
    <n v="6.2"/>
    <n v="41"/>
    <n v="2.65"/>
    <n v="143"/>
    <n v="10.11"/>
    <x v="0"/>
  </r>
  <r>
    <x v="0"/>
    <s v="大阪市東成区"/>
    <x v="12"/>
    <x v="2"/>
    <n v="697"/>
    <n v="23.5"/>
    <n v="260"/>
    <n v="16.82"/>
    <n v="437"/>
    <n v="30.88"/>
    <x v="0"/>
  </r>
  <r>
    <x v="0"/>
    <s v="大阪市東成区"/>
    <x v="12"/>
    <x v="3"/>
    <n v="1"/>
    <n v="0.03"/>
    <n v="0"/>
    <n v="0"/>
    <n v="1"/>
    <n v="7.0000000000000007E-2"/>
    <x v="0"/>
  </r>
  <r>
    <x v="0"/>
    <s v="大阪市東成区"/>
    <x v="12"/>
    <x v="4"/>
    <n v="25"/>
    <n v="0.84"/>
    <n v="3"/>
    <n v="0.19"/>
    <n v="22"/>
    <n v="1.55"/>
    <x v="0"/>
  </r>
  <r>
    <x v="0"/>
    <s v="大阪市東成区"/>
    <x v="12"/>
    <x v="5"/>
    <n v="21"/>
    <n v="0.71"/>
    <n v="7"/>
    <n v="0.45"/>
    <n v="14"/>
    <n v="0.99"/>
    <x v="0"/>
  </r>
  <r>
    <x v="0"/>
    <s v="大阪市東成区"/>
    <x v="12"/>
    <x v="6"/>
    <n v="772"/>
    <n v="26.03"/>
    <n v="436"/>
    <n v="28.2"/>
    <n v="336"/>
    <n v="23.75"/>
    <x v="0"/>
  </r>
  <r>
    <x v="0"/>
    <s v="大阪市東成区"/>
    <x v="12"/>
    <x v="7"/>
    <n v="5"/>
    <n v="0.17"/>
    <n v="0"/>
    <n v="0"/>
    <n v="5"/>
    <n v="0.35"/>
    <x v="0"/>
  </r>
  <r>
    <x v="0"/>
    <s v="大阪市東成区"/>
    <x v="12"/>
    <x v="8"/>
    <n v="341"/>
    <n v="11.5"/>
    <n v="107"/>
    <n v="6.92"/>
    <n v="234"/>
    <n v="16.54"/>
    <x v="0"/>
  </r>
  <r>
    <x v="0"/>
    <s v="大阪市東成区"/>
    <x v="12"/>
    <x v="9"/>
    <n v="119"/>
    <n v="4.01"/>
    <n v="60"/>
    <n v="3.88"/>
    <n v="59"/>
    <n v="4.17"/>
    <x v="0"/>
  </r>
  <r>
    <x v="0"/>
    <s v="大阪市東成区"/>
    <x v="12"/>
    <x v="10"/>
    <n v="350"/>
    <n v="11.8"/>
    <n v="311"/>
    <n v="20.12"/>
    <n v="39"/>
    <n v="2.76"/>
    <x v="0"/>
  </r>
  <r>
    <x v="0"/>
    <s v="大阪市東成区"/>
    <x v="12"/>
    <x v="11"/>
    <n v="214"/>
    <n v="7.22"/>
    <n v="175"/>
    <n v="11.32"/>
    <n v="39"/>
    <n v="2.76"/>
    <x v="0"/>
  </r>
  <r>
    <x v="0"/>
    <s v="大阪市東成区"/>
    <x v="12"/>
    <x v="12"/>
    <n v="44"/>
    <n v="1.48"/>
    <n v="34"/>
    <n v="2.2000000000000002"/>
    <n v="9"/>
    <n v="0.64"/>
    <x v="0"/>
  </r>
  <r>
    <x v="0"/>
    <s v="大阪市東成区"/>
    <x v="12"/>
    <x v="13"/>
    <n v="133"/>
    <n v="4.4800000000000004"/>
    <n v="93"/>
    <n v="6.02"/>
    <n v="36"/>
    <n v="2.54"/>
    <x v="2"/>
  </r>
  <r>
    <x v="0"/>
    <s v="大阪市東成区"/>
    <x v="12"/>
    <x v="14"/>
    <n v="60"/>
    <n v="2.02"/>
    <n v="19"/>
    <n v="1.23"/>
    <n v="41"/>
    <n v="2.9"/>
    <x v="0"/>
  </r>
  <r>
    <x v="0"/>
    <s v="大阪市生野区"/>
    <x v="13"/>
    <x v="0"/>
    <n v="0"/>
    <n v="0"/>
    <n v="0"/>
    <n v="0"/>
    <n v="0"/>
    <n v="0"/>
    <x v="0"/>
  </r>
  <r>
    <x v="0"/>
    <s v="大阪市生野区"/>
    <x v="13"/>
    <x v="1"/>
    <n v="289"/>
    <n v="6.26"/>
    <n v="88"/>
    <n v="3.13"/>
    <n v="201"/>
    <n v="11.24"/>
    <x v="0"/>
  </r>
  <r>
    <x v="0"/>
    <s v="大阪市生野区"/>
    <x v="13"/>
    <x v="2"/>
    <n v="1321"/>
    <n v="28.61"/>
    <n v="733"/>
    <n v="26.04"/>
    <n v="588"/>
    <n v="32.869999999999997"/>
    <x v="0"/>
  </r>
  <r>
    <x v="0"/>
    <s v="大阪市生野区"/>
    <x v="13"/>
    <x v="3"/>
    <n v="1"/>
    <n v="0.02"/>
    <n v="0"/>
    <n v="0"/>
    <n v="1"/>
    <n v="0.06"/>
    <x v="0"/>
  </r>
  <r>
    <x v="0"/>
    <s v="大阪市生野区"/>
    <x v="13"/>
    <x v="4"/>
    <n v="27"/>
    <n v="0.57999999999999996"/>
    <n v="2"/>
    <n v="7.0000000000000007E-2"/>
    <n v="25"/>
    <n v="1.4"/>
    <x v="0"/>
  </r>
  <r>
    <x v="0"/>
    <s v="大阪市生野区"/>
    <x v="13"/>
    <x v="5"/>
    <n v="33"/>
    <n v="0.71"/>
    <n v="16"/>
    <n v="0.56999999999999995"/>
    <n v="17"/>
    <n v="0.95"/>
    <x v="0"/>
  </r>
  <r>
    <x v="0"/>
    <s v="大阪市生野区"/>
    <x v="13"/>
    <x v="6"/>
    <n v="1042"/>
    <n v="22.57"/>
    <n v="695"/>
    <n v="24.69"/>
    <n v="347"/>
    <n v="19.399999999999999"/>
    <x v="0"/>
  </r>
  <r>
    <x v="0"/>
    <s v="大阪市生野区"/>
    <x v="13"/>
    <x v="7"/>
    <n v="14"/>
    <n v="0.3"/>
    <n v="4"/>
    <n v="0.14000000000000001"/>
    <n v="10"/>
    <n v="0.56000000000000005"/>
    <x v="0"/>
  </r>
  <r>
    <x v="0"/>
    <s v="大阪市生野区"/>
    <x v="13"/>
    <x v="8"/>
    <n v="550"/>
    <n v="11.91"/>
    <n v="231"/>
    <n v="8.2100000000000009"/>
    <n v="318"/>
    <n v="17.78"/>
    <x v="18"/>
  </r>
  <r>
    <x v="0"/>
    <s v="大阪市生野区"/>
    <x v="13"/>
    <x v="9"/>
    <n v="94"/>
    <n v="2.04"/>
    <n v="49"/>
    <n v="1.74"/>
    <n v="45"/>
    <n v="2.52"/>
    <x v="0"/>
  </r>
  <r>
    <x v="0"/>
    <s v="大阪市生野区"/>
    <x v="13"/>
    <x v="10"/>
    <n v="519"/>
    <n v="11.24"/>
    <n v="466"/>
    <n v="16.55"/>
    <n v="52"/>
    <n v="2.91"/>
    <x v="0"/>
  </r>
  <r>
    <x v="0"/>
    <s v="大阪市生野区"/>
    <x v="13"/>
    <x v="11"/>
    <n v="341"/>
    <n v="7.39"/>
    <n v="296"/>
    <n v="10.52"/>
    <n v="45"/>
    <n v="2.52"/>
    <x v="0"/>
  </r>
  <r>
    <x v="0"/>
    <s v="大阪市生野区"/>
    <x v="13"/>
    <x v="12"/>
    <n v="71"/>
    <n v="1.54"/>
    <n v="59"/>
    <n v="2.1"/>
    <n v="11"/>
    <n v="0.61"/>
    <x v="0"/>
  </r>
  <r>
    <x v="0"/>
    <s v="大阪市生野区"/>
    <x v="13"/>
    <x v="13"/>
    <n v="239"/>
    <n v="5.18"/>
    <n v="139"/>
    <n v="4.9400000000000004"/>
    <n v="92"/>
    <n v="5.14"/>
    <x v="4"/>
  </r>
  <r>
    <x v="0"/>
    <s v="大阪市生野区"/>
    <x v="13"/>
    <x v="14"/>
    <n v="76"/>
    <n v="1.65"/>
    <n v="37"/>
    <n v="1.31"/>
    <n v="37"/>
    <n v="2.0699999999999998"/>
    <x v="12"/>
  </r>
  <r>
    <x v="0"/>
    <s v="大阪市旭区"/>
    <x v="14"/>
    <x v="0"/>
    <n v="0"/>
    <n v="0"/>
    <n v="0"/>
    <n v="0"/>
    <n v="0"/>
    <n v="0"/>
    <x v="0"/>
  </r>
  <r>
    <x v="0"/>
    <s v="大阪市旭区"/>
    <x v="14"/>
    <x v="1"/>
    <n v="208"/>
    <n v="9.94"/>
    <n v="43"/>
    <n v="3.51"/>
    <n v="165"/>
    <n v="19.079999999999998"/>
    <x v="0"/>
  </r>
  <r>
    <x v="0"/>
    <s v="大阪市旭区"/>
    <x v="14"/>
    <x v="2"/>
    <n v="207"/>
    <n v="9.89"/>
    <n v="80"/>
    <n v="6.53"/>
    <n v="127"/>
    <n v="14.68"/>
    <x v="0"/>
  </r>
  <r>
    <x v="0"/>
    <s v="大阪市旭区"/>
    <x v="14"/>
    <x v="3"/>
    <n v="1"/>
    <n v="0.05"/>
    <n v="0"/>
    <n v="0"/>
    <n v="1"/>
    <n v="0.12"/>
    <x v="0"/>
  </r>
  <r>
    <x v="0"/>
    <s v="大阪市旭区"/>
    <x v="14"/>
    <x v="4"/>
    <n v="14"/>
    <n v="0.67"/>
    <n v="1"/>
    <n v="0.08"/>
    <n v="13"/>
    <n v="1.5"/>
    <x v="0"/>
  </r>
  <r>
    <x v="0"/>
    <s v="大阪市旭区"/>
    <x v="14"/>
    <x v="5"/>
    <n v="32"/>
    <n v="1.53"/>
    <n v="19"/>
    <n v="1.55"/>
    <n v="13"/>
    <n v="1.5"/>
    <x v="0"/>
  </r>
  <r>
    <x v="0"/>
    <s v="大阪市旭区"/>
    <x v="14"/>
    <x v="6"/>
    <n v="502"/>
    <n v="24"/>
    <n v="289"/>
    <n v="23.59"/>
    <n v="213"/>
    <n v="24.62"/>
    <x v="0"/>
  </r>
  <r>
    <x v="0"/>
    <s v="大阪市旭区"/>
    <x v="14"/>
    <x v="7"/>
    <n v="9"/>
    <n v="0.43"/>
    <n v="2"/>
    <n v="0.16"/>
    <n v="7"/>
    <n v="0.81"/>
    <x v="0"/>
  </r>
  <r>
    <x v="0"/>
    <s v="大阪市旭区"/>
    <x v="14"/>
    <x v="8"/>
    <n v="302"/>
    <n v="14.44"/>
    <n v="150"/>
    <n v="12.24"/>
    <n v="152"/>
    <n v="17.57"/>
    <x v="0"/>
  </r>
  <r>
    <x v="0"/>
    <s v="大阪市旭区"/>
    <x v="14"/>
    <x v="9"/>
    <n v="78"/>
    <n v="3.73"/>
    <n v="47"/>
    <n v="3.84"/>
    <n v="31"/>
    <n v="3.58"/>
    <x v="0"/>
  </r>
  <r>
    <x v="0"/>
    <s v="大阪市旭区"/>
    <x v="14"/>
    <x v="10"/>
    <n v="287"/>
    <n v="13.72"/>
    <n v="261"/>
    <n v="21.31"/>
    <n v="26"/>
    <n v="3.01"/>
    <x v="0"/>
  </r>
  <r>
    <x v="0"/>
    <s v="大阪市旭区"/>
    <x v="14"/>
    <x v="11"/>
    <n v="209"/>
    <n v="9.99"/>
    <n v="174"/>
    <n v="14.2"/>
    <n v="35"/>
    <n v="4.05"/>
    <x v="0"/>
  </r>
  <r>
    <x v="0"/>
    <s v="大阪市旭区"/>
    <x v="14"/>
    <x v="12"/>
    <n v="48"/>
    <n v="2.29"/>
    <n v="39"/>
    <n v="3.18"/>
    <n v="8"/>
    <n v="0.92"/>
    <x v="0"/>
  </r>
  <r>
    <x v="0"/>
    <s v="大阪市旭区"/>
    <x v="14"/>
    <x v="13"/>
    <n v="137"/>
    <n v="6.55"/>
    <n v="100"/>
    <n v="8.16"/>
    <n v="37"/>
    <n v="4.28"/>
    <x v="0"/>
  </r>
  <r>
    <x v="0"/>
    <s v="大阪市旭区"/>
    <x v="14"/>
    <x v="14"/>
    <n v="58"/>
    <n v="2.77"/>
    <n v="20"/>
    <n v="1.63"/>
    <n v="37"/>
    <n v="4.28"/>
    <x v="18"/>
  </r>
  <r>
    <x v="0"/>
    <s v="大阪市城東区"/>
    <x v="15"/>
    <x v="0"/>
    <n v="0"/>
    <n v="0"/>
    <n v="0"/>
    <n v="0"/>
    <n v="0"/>
    <n v="0"/>
    <x v="0"/>
  </r>
  <r>
    <x v="0"/>
    <s v="大阪市城東区"/>
    <x v="15"/>
    <x v="1"/>
    <n v="306"/>
    <n v="9.64"/>
    <n v="58"/>
    <n v="3.49"/>
    <n v="248"/>
    <n v="16.579999999999998"/>
    <x v="0"/>
  </r>
  <r>
    <x v="0"/>
    <s v="大阪市城東区"/>
    <x v="15"/>
    <x v="2"/>
    <n v="538"/>
    <n v="16.96"/>
    <n v="189"/>
    <n v="11.36"/>
    <n v="349"/>
    <n v="23.33"/>
    <x v="0"/>
  </r>
  <r>
    <x v="0"/>
    <s v="大阪市城東区"/>
    <x v="15"/>
    <x v="3"/>
    <n v="1"/>
    <n v="0.03"/>
    <n v="0"/>
    <n v="0"/>
    <n v="1"/>
    <n v="7.0000000000000007E-2"/>
    <x v="0"/>
  </r>
  <r>
    <x v="0"/>
    <s v="大阪市城東区"/>
    <x v="15"/>
    <x v="4"/>
    <n v="23"/>
    <n v="0.72"/>
    <n v="1"/>
    <n v="0.06"/>
    <n v="22"/>
    <n v="1.47"/>
    <x v="0"/>
  </r>
  <r>
    <x v="0"/>
    <s v="大阪市城東区"/>
    <x v="15"/>
    <x v="5"/>
    <n v="52"/>
    <n v="1.64"/>
    <n v="38"/>
    <n v="2.2799999999999998"/>
    <n v="14"/>
    <n v="0.94"/>
    <x v="0"/>
  </r>
  <r>
    <x v="0"/>
    <s v="大阪市城東区"/>
    <x v="15"/>
    <x v="6"/>
    <n v="578"/>
    <n v="18.22"/>
    <n v="312"/>
    <n v="18.75"/>
    <n v="266"/>
    <n v="17.78"/>
    <x v="0"/>
  </r>
  <r>
    <x v="0"/>
    <s v="大阪市城東区"/>
    <x v="15"/>
    <x v="7"/>
    <n v="11"/>
    <n v="0.35"/>
    <n v="1"/>
    <n v="0.06"/>
    <n v="10"/>
    <n v="0.67"/>
    <x v="0"/>
  </r>
  <r>
    <x v="0"/>
    <s v="大阪市城東区"/>
    <x v="15"/>
    <x v="8"/>
    <n v="475"/>
    <n v="14.97"/>
    <n v="197"/>
    <n v="11.84"/>
    <n v="278"/>
    <n v="18.579999999999998"/>
    <x v="0"/>
  </r>
  <r>
    <x v="0"/>
    <s v="大阪市城東区"/>
    <x v="15"/>
    <x v="9"/>
    <n v="147"/>
    <n v="4.63"/>
    <n v="65"/>
    <n v="3.91"/>
    <n v="80"/>
    <n v="5.35"/>
    <x v="18"/>
  </r>
  <r>
    <x v="0"/>
    <s v="大阪市城東区"/>
    <x v="15"/>
    <x v="10"/>
    <n v="382"/>
    <n v="12.04"/>
    <n v="341"/>
    <n v="20.49"/>
    <n v="41"/>
    <n v="2.74"/>
    <x v="0"/>
  </r>
  <r>
    <x v="0"/>
    <s v="大阪市城東区"/>
    <x v="15"/>
    <x v="11"/>
    <n v="327"/>
    <n v="10.31"/>
    <n v="255"/>
    <n v="15.32"/>
    <n v="72"/>
    <n v="4.8099999999999996"/>
    <x v="0"/>
  </r>
  <r>
    <x v="0"/>
    <s v="大阪市城東区"/>
    <x v="15"/>
    <x v="12"/>
    <n v="81"/>
    <n v="2.5499999999999998"/>
    <n v="60"/>
    <n v="3.61"/>
    <n v="19"/>
    <n v="1.27"/>
    <x v="18"/>
  </r>
  <r>
    <x v="0"/>
    <s v="大阪市城東区"/>
    <x v="15"/>
    <x v="13"/>
    <n v="188"/>
    <n v="5.92"/>
    <n v="127"/>
    <n v="7.63"/>
    <n v="52"/>
    <n v="3.48"/>
    <x v="19"/>
  </r>
  <r>
    <x v="0"/>
    <s v="大阪市城東区"/>
    <x v="15"/>
    <x v="14"/>
    <n v="64"/>
    <n v="2.02"/>
    <n v="20"/>
    <n v="1.2"/>
    <n v="44"/>
    <n v="2.94"/>
    <x v="0"/>
  </r>
  <r>
    <x v="0"/>
    <s v="大阪市阿倍野区"/>
    <x v="16"/>
    <x v="0"/>
    <n v="0"/>
    <n v="0"/>
    <n v="0"/>
    <n v="0"/>
    <n v="0"/>
    <n v="0"/>
    <x v="0"/>
  </r>
  <r>
    <x v="0"/>
    <s v="大阪市阿倍野区"/>
    <x v="16"/>
    <x v="1"/>
    <n v="165"/>
    <n v="5.5"/>
    <n v="41"/>
    <n v="2.73"/>
    <n v="124"/>
    <n v="8.2899999999999991"/>
    <x v="0"/>
  </r>
  <r>
    <x v="0"/>
    <s v="大阪市阿倍野区"/>
    <x v="16"/>
    <x v="2"/>
    <n v="189"/>
    <n v="6.3"/>
    <n v="70"/>
    <n v="4.6500000000000004"/>
    <n v="119"/>
    <n v="7.96"/>
    <x v="0"/>
  </r>
  <r>
    <x v="0"/>
    <s v="大阪市阿倍野区"/>
    <x v="16"/>
    <x v="3"/>
    <n v="0"/>
    <n v="0"/>
    <n v="0"/>
    <n v="0"/>
    <n v="0"/>
    <n v="0"/>
    <x v="0"/>
  </r>
  <r>
    <x v="0"/>
    <s v="大阪市阿倍野区"/>
    <x v="16"/>
    <x v="4"/>
    <n v="33"/>
    <n v="1.1000000000000001"/>
    <n v="3"/>
    <n v="0.2"/>
    <n v="30"/>
    <n v="2.0099999999999998"/>
    <x v="0"/>
  </r>
  <r>
    <x v="0"/>
    <s v="大阪市阿倍野区"/>
    <x v="16"/>
    <x v="5"/>
    <n v="11"/>
    <n v="0.37"/>
    <n v="4"/>
    <n v="0.27"/>
    <n v="7"/>
    <n v="0.47"/>
    <x v="0"/>
  </r>
  <r>
    <x v="0"/>
    <s v="大阪市阿倍野区"/>
    <x v="16"/>
    <x v="6"/>
    <n v="741"/>
    <n v="24.68"/>
    <n v="317"/>
    <n v="21.08"/>
    <n v="424"/>
    <n v="28.36"/>
    <x v="0"/>
  </r>
  <r>
    <x v="0"/>
    <s v="大阪市阿倍野区"/>
    <x v="16"/>
    <x v="7"/>
    <n v="19"/>
    <n v="0.63"/>
    <n v="1"/>
    <n v="7.0000000000000007E-2"/>
    <n v="18"/>
    <n v="1.2"/>
    <x v="0"/>
  </r>
  <r>
    <x v="0"/>
    <s v="大阪市阿倍野区"/>
    <x v="16"/>
    <x v="8"/>
    <n v="561"/>
    <n v="18.690000000000001"/>
    <n v="183"/>
    <n v="12.17"/>
    <n v="378"/>
    <n v="25.28"/>
    <x v="0"/>
  </r>
  <r>
    <x v="0"/>
    <s v="大阪市阿倍野区"/>
    <x v="16"/>
    <x v="9"/>
    <n v="204"/>
    <n v="6.8"/>
    <n v="105"/>
    <n v="6.98"/>
    <n v="99"/>
    <n v="6.62"/>
    <x v="0"/>
  </r>
  <r>
    <x v="0"/>
    <s v="大阪市阿倍野区"/>
    <x v="16"/>
    <x v="10"/>
    <n v="417"/>
    <n v="13.89"/>
    <n v="341"/>
    <n v="22.67"/>
    <n v="76"/>
    <n v="5.08"/>
    <x v="0"/>
  </r>
  <r>
    <x v="0"/>
    <s v="大阪市阿倍野区"/>
    <x v="16"/>
    <x v="11"/>
    <n v="286"/>
    <n v="9.5299999999999994"/>
    <n v="215"/>
    <n v="14.3"/>
    <n v="71"/>
    <n v="4.75"/>
    <x v="0"/>
  </r>
  <r>
    <x v="0"/>
    <s v="大阪市阿倍野区"/>
    <x v="16"/>
    <x v="12"/>
    <n v="109"/>
    <n v="3.63"/>
    <n v="67"/>
    <n v="4.45"/>
    <n v="41"/>
    <n v="2.74"/>
    <x v="0"/>
  </r>
  <r>
    <x v="0"/>
    <s v="大阪市阿倍野区"/>
    <x v="16"/>
    <x v="13"/>
    <n v="213"/>
    <n v="7.1"/>
    <n v="145"/>
    <n v="9.64"/>
    <n v="67"/>
    <n v="4.4800000000000004"/>
    <x v="18"/>
  </r>
  <r>
    <x v="0"/>
    <s v="大阪市阿倍野区"/>
    <x v="16"/>
    <x v="14"/>
    <n v="54"/>
    <n v="1.8"/>
    <n v="12"/>
    <n v="0.8"/>
    <n v="41"/>
    <n v="2.74"/>
    <x v="18"/>
  </r>
  <r>
    <x v="0"/>
    <s v="大阪市住吉区"/>
    <x v="17"/>
    <x v="0"/>
    <n v="0"/>
    <n v="0"/>
    <n v="0"/>
    <n v="0"/>
    <n v="0"/>
    <n v="0"/>
    <x v="0"/>
  </r>
  <r>
    <x v="0"/>
    <s v="大阪市住吉区"/>
    <x v="17"/>
    <x v="1"/>
    <n v="325"/>
    <n v="10.73"/>
    <n v="71"/>
    <n v="4.21"/>
    <n v="254"/>
    <n v="19"/>
    <x v="0"/>
  </r>
  <r>
    <x v="0"/>
    <s v="大阪市住吉区"/>
    <x v="17"/>
    <x v="2"/>
    <n v="149"/>
    <n v="4.92"/>
    <n v="59"/>
    <n v="3.5"/>
    <n v="90"/>
    <n v="6.73"/>
    <x v="0"/>
  </r>
  <r>
    <x v="0"/>
    <s v="大阪市住吉区"/>
    <x v="17"/>
    <x v="3"/>
    <n v="0"/>
    <n v="0"/>
    <n v="0"/>
    <n v="0"/>
    <n v="0"/>
    <n v="0"/>
    <x v="0"/>
  </r>
  <r>
    <x v="0"/>
    <s v="大阪市住吉区"/>
    <x v="17"/>
    <x v="4"/>
    <n v="25"/>
    <n v="0.83"/>
    <n v="1"/>
    <n v="0.06"/>
    <n v="24"/>
    <n v="1.8"/>
    <x v="0"/>
  </r>
  <r>
    <x v="0"/>
    <s v="大阪市住吉区"/>
    <x v="17"/>
    <x v="5"/>
    <n v="29"/>
    <n v="0.96"/>
    <n v="17"/>
    <n v="1.01"/>
    <n v="12"/>
    <n v="0.9"/>
    <x v="0"/>
  </r>
  <r>
    <x v="0"/>
    <s v="大阪市住吉区"/>
    <x v="17"/>
    <x v="6"/>
    <n v="607"/>
    <n v="20.03"/>
    <n v="337"/>
    <n v="20"/>
    <n v="270"/>
    <n v="20.190000000000001"/>
    <x v="0"/>
  </r>
  <r>
    <x v="0"/>
    <s v="大阪市住吉区"/>
    <x v="17"/>
    <x v="7"/>
    <n v="15"/>
    <n v="0.5"/>
    <n v="2"/>
    <n v="0.12"/>
    <n v="13"/>
    <n v="0.97"/>
    <x v="0"/>
  </r>
  <r>
    <x v="0"/>
    <s v="大阪市住吉区"/>
    <x v="17"/>
    <x v="8"/>
    <n v="585"/>
    <n v="19.309999999999999"/>
    <n v="225"/>
    <n v="13.35"/>
    <n v="359"/>
    <n v="26.85"/>
    <x v="18"/>
  </r>
  <r>
    <x v="0"/>
    <s v="大阪市住吉区"/>
    <x v="17"/>
    <x v="9"/>
    <n v="133"/>
    <n v="4.3899999999999997"/>
    <n v="72"/>
    <n v="4.2699999999999996"/>
    <n v="61"/>
    <n v="4.5599999999999996"/>
    <x v="0"/>
  </r>
  <r>
    <x v="0"/>
    <s v="大阪市住吉区"/>
    <x v="17"/>
    <x v="10"/>
    <n v="385"/>
    <n v="12.71"/>
    <n v="334"/>
    <n v="19.82"/>
    <n v="51"/>
    <n v="3.81"/>
    <x v="0"/>
  </r>
  <r>
    <x v="0"/>
    <s v="大阪市住吉区"/>
    <x v="17"/>
    <x v="11"/>
    <n v="384"/>
    <n v="12.67"/>
    <n v="316"/>
    <n v="18.75"/>
    <n v="68"/>
    <n v="5.09"/>
    <x v="0"/>
  </r>
  <r>
    <x v="0"/>
    <s v="大阪市住吉区"/>
    <x v="17"/>
    <x v="12"/>
    <n v="85"/>
    <n v="2.81"/>
    <n v="70"/>
    <n v="4.1500000000000004"/>
    <n v="12"/>
    <n v="0.9"/>
    <x v="12"/>
  </r>
  <r>
    <x v="0"/>
    <s v="大阪市住吉区"/>
    <x v="17"/>
    <x v="13"/>
    <n v="245"/>
    <n v="8.09"/>
    <n v="168"/>
    <n v="9.9700000000000006"/>
    <n v="75"/>
    <n v="5.61"/>
    <x v="12"/>
  </r>
  <r>
    <x v="0"/>
    <s v="大阪市住吉区"/>
    <x v="17"/>
    <x v="14"/>
    <n v="63"/>
    <n v="2.08"/>
    <n v="13"/>
    <n v="0.77"/>
    <n v="48"/>
    <n v="3.59"/>
    <x v="12"/>
  </r>
  <r>
    <x v="0"/>
    <s v="大阪市東住吉区"/>
    <x v="18"/>
    <x v="0"/>
    <n v="0"/>
    <n v="0"/>
    <n v="0"/>
    <n v="0"/>
    <n v="0"/>
    <n v="0"/>
    <x v="0"/>
  </r>
  <r>
    <x v="0"/>
    <s v="大阪市東住吉区"/>
    <x v="18"/>
    <x v="1"/>
    <n v="388"/>
    <n v="11.14"/>
    <n v="90"/>
    <n v="4.82"/>
    <n v="298"/>
    <n v="18.59"/>
    <x v="0"/>
  </r>
  <r>
    <x v="0"/>
    <s v="大阪市東住吉区"/>
    <x v="18"/>
    <x v="2"/>
    <n v="471"/>
    <n v="13.52"/>
    <n v="194"/>
    <n v="10.39"/>
    <n v="274"/>
    <n v="17.09"/>
    <x v="1"/>
  </r>
  <r>
    <x v="0"/>
    <s v="大阪市東住吉区"/>
    <x v="18"/>
    <x v="3"/>
    <n v="1"/>
    <n v="0.03"/>
    <n v="0"/>
    <n v="0"/>
    <n v="1"/>
    <n v="0.06"/>
    <x v="0"/>
  </r>
  <r>
    <x v="0"/>
    <s v="大阪市東住吉区"/>
    <x v="18"/>
    <x v="4"/>
    <n v="24"/>
    <n v="0.69"/>
    <n v="2"/>
    <n v="0.11"/>
    <n v="22"/>
    <n v="1.37"/>
    <x v="0"/>
  </r>
  <r>
    <x v="0"/>
    <s v="大阪市東住吉区"/>
    <x v="18"/>
    <x v="5"/>
    <n v="39"/>
    <n v="1.1200000000000001"/>
    <n v="17"/>
    <n v="0.91"/>
    <n v="22"/>
    <n v="1.37"/>
    <x v="0"/>
  </r>
  <r>
    <x v="0"/>
    <s v="大阪市東住吉区"/>
    <x v="18"/>
    <x v="6"/>
    <n v="831"/>
    <n v="23.86"/>
    <n v="454"/>
    <n v="24.3"/>
    <n v="377"/>
    <n v="23.52"/>
    <x v="0"/>
  </r>
  <r>
    <x v="0"/>
    <s v="大阪市東住吉区"/>
    <x v="18"/>
    <x v="7"/>
    <n v="13"/>
    <n v="0.37"/>
    <n v="2"/>
    <n v="0.11"/>
    <n v="11"/>
    <n v="0.69"/>
    <x v="0"/>
  </r>
  <r>
    <x v="0"/>
    <s v="大阪市東住吉区"/>
    <x v="18"/>
    <x v="8"/>
    <n v="493"/>
    <n v="14.15"/>
    <n v="165"/>
    <n v="8.83"/>
    <n v="328"/>
    <n v="20.46"/>
    <x v="0"/>
  </r>
  <r>
    <x v="0"/>
    <s v="大阪市東住吉区"/>
    <x v="18"/>
    <x v="9"/>
    <n v="107"/>
    <n v="3.07"/>
    <n v="59"/>
    <n v="3.16"/>
    <n v="48"/>
    <n v="2.99"/>
    <x v="0"/>
  </r>
  <r>
    <x v="0"/>
    <s v="大阪市東住吉区"/>
    <x v="18"/>
    <x v="10"/>
    <n v="433"/>
    <n v="12.43"/>
    <n v="398"/>
    <n v="21.31"/>
    <n v="34"/>
    <n v="2.12"/>
    <x v="18"/>
  </r>
  <r>
    <x v="0"/>
    <s v="大阪市東住吉区"/>
    <x v="18"/>
    <x v="11"/>
    <n v="300"/>
    <n v="8.61"/>
    <n v="251"/>
    <n v="13.44"/>
    <n v="49"/>
    <n v="3.06"/>
    <x v="0"/>
  </r>
  <r>
    <x v="0"/>
    <s v="大阪市東住吉区"/>
    <x v="18"/>
    <x v="12"/>
    <n v="97"/>
    <n v="2.78"/>
    <n v="77"/>
    <n v="4.12"/>
    <n v="18"/>
    <n v="1.1200000000000001"/>
    <x v="18"/>
  </r>
  <r>
    <x v="0"/>
    <s v="大阪市東住吉区"/>
    <x v="18"/>
    <x v="13"/>
    <n v="213"/>
    <n v="6.12"/>
    <n v="131"/>
    <n v="7.01"/>
    <n v="79"/>
    <n v="4.93"/>
    <x v="1"/>
  </r>
  <r>
    <x v="0"/>
    <s v="大阪市東住吉区"/>
    <x v="18"/>
    <x v="14"/>
    <n v="73"/>
    <n v="2.1"/>
    <n v="28"/>
    <n v="1.5"/>
    <n v="42"/>
    <n v="2.62"/>
    <x v="1"/>
  </r>
  <r>
    <x v="0"/>
    <s v="大阪市西成区"/>
    <x v="19"/>
    <x v="0"/>
    <n v="0"/>
    <n v="0"/>
    <n v="0"/>
    <n v="0"/>
    <n v="0"/>
    <n v="0"/>
    <x v="0"/>
  </r>
  <r>
    <x v="0"/>
    <s v="大阪市西成区"/>
    <x v="19"/>
    <x v="1"/>
    <n v="195"/>
    <n v="7.42"/>
    <n v="48"/>
    <n v="3.11"/>
    <n v="147"/>
    <n v="13.64"/>
    <x v="0"/>
  </r>
  <r>
    <x v="0"/>
    <s v="大阪市西成区"/>
    <x v="19"/>
    <x v="2"/>
    <n v="355"/>
    <n v="13.51"/>
    <n v="137"/>
    <n v="8.8699999999999992"/>
    <n v="218"/>
    <n v="20.22"/>
    <x v="0"/>
  </r>
  <r>
    <x v="0"/>
    <s v="大阪市西成区"/>
    <x v="19"/>
    <x v="3"/>
    <n v="0"/>
    <n v="0"/>
    <n v="0"/>
    <n v="0"/>
    <n v="0"/>
    <n v="0"/>
    <x v="0"/>
  </r>
  <r>
    <x v="0"/>
    <s v="大阪市西成区"/>
    <x v="19"/>
    <x v="4"/>
    <n v="6"/>
    <n v="0.23"/>
    <n v="1"/>
    <n v="0.06"/>
    <n v="5"/>
    <n v="0.46"/>
    <x v="0"/>
  </r>
  <r>
    <x v="0"/>
    <s v="大阪市西成区"/>
    <x v="19"/>
    <x v="5"/>
    <n v="19"/>
    <n v="0.72"/>
    <n v="4"/>
    <n v="0.26"/>
    <n v="15"/>
    <n v="1.39"/>
    <x v="0"/>
  </r>
  <r>
    <x v="0"/>
    <s v="大阪市西成区"/>
    <x v="19"/>
    <x v="6"/>
    <n v="656"/>
    <n v="24.97"/>
    <n v="413"/>
    <n v="26.73"/>
    <n v="243"/>
    <n v="22.54"/>
    <x v="0"/>
  </r>
  <r>
    <x v="0"/>
    <s v="大阪市西成区"/>
    <x v="19"/>
    <x v="7"/>
    <n v="5"/>
    <n v="0.19"/>
    <n v="0"/>
    <n v="0"/>
    <n v="5"/>
    <n v="0.46"/>
    <x v="0"/>
  </r>
  <r>
    <x v="0"/>
    <s v="大阪市西成区"/>
    <x v="19"/>
    <x v="8"/>
    <n v="406"/>
    <n v="15.45"/>
    <n v="213"/>
    <n v="13.79"/>
    <n v="193"/>
    <n v="17.899999999999999"/>
    <x v="0"/>
  </r>
  <r>
    <x v="0"/>
    <s v="大阪市西成区"/>
    <x v="19"/>
    <x v="9"/>
    <n v="52"/>
    <n v="1.98"/>
    <n v="23"/>
    <n v="1.49"/>
    <n v="28"/>
    <n v="2.6"/>
    <x v="18"/>
  </r>
  <r>
    <x v="0"/>
    <s v="大阪市西成区"/>
    <x v="19"/>
    <x v="10"/>
    <n v="419"/>
    <n v="15.95"/>
    <n v="354"/>
    <n v="22.91"/>
    <n v="65"/>
    <n v="6.03"/>
    <x v="0"/>
  </r>
  <r>
    <x v="0"/>
    <s v="大阪市西成区"/>
    <x v="19"/>
    <x v="11"/>
    <n v="261"/>
    <n v="9.94"/>
    <n v="220"/>
    <n v="14.24"/>
    <n v="41"/>
    <n v="3.8"/>
    <x v="0"/>
  </r>
  <r>
    <x v="0"/>
    <s v="大阪市西成区"/>
    <x v="19"/>
    <x v="12"/>
    <n v="34"/>
    <n v="1.29"/>
    <n v="28"/>
    <n v="1.81"/>
    <n v="5"/>
    <n v="0.46"/>
    <x v="0"/>
  </r>
  <r>
    <x v="0"/>
    <s v="大阪市西成区"/>
    <x v="19"/>
    <x v="13"/>
    <n v="163"/>
    <n v="6.2"/>
    <n v="85"/>
    <n v="5.5"/>
    <n v="76"/>
    <n v="7.05"/>
    <x v="12"/>
  </r>
  <r>
    <x v="0"/>
    <s v="大阪市西成区"/>
    <x v="19"/>
    <x v="14"/>
    <n v="56"/>
    <n v="2.13"/>
    <n v="19"/>
    <n v="1.23"/>
    <n v="37"/>
    <n v="3.43"/>
    <x v="0"/>
  </r>
  <r>
    <x v="0"/>
    <s v="大阪市淀川区"/>
    <x v="20"/>
    <x v="0"/>
    <n v="0"/>
    <n v="0"/>
    <n v="0"/>
    <n v="0"/>
    <n v="0"/>
    <n v="0"/>
    <x v="0"/>
  </r>
  <r>
    <x v="0"/>
    <s v="大阪市淀川区"/>
    <x v="20"/>
    <x v="1"/>
    <n v="552"/>
    <n v="8.67"/>
    <n v="57"/>
    <n v="2.36"/>
    <n v="495"/>
    <n v="12.59"/>
    <x v="0"/>
  </r>
  <r>
    <x v="0"/>
    <s v="大阪市淀川区"/>
    <x v="20"/>
    <x v="2"/>
    <n v="655"/>
    <n v="10.28"/>
    <n v="173"/>
    <n v="7.15"/>
    <n v="482"/>
    <n v="12.26"/>
    <x v="0"/>
  </r>
  <r>
    <x v="0"/>
    <s v="大阪市淀川区"/>
    <x v="20"/>
    <x v="3"/>
    <n v="4"/>
    <n v="0.06"/>
    <n v="0"/>
    <n v="0"/>
    <n v="4"/>
    <n v="0.1"/>
    <x v="0"/>
  </r>
  <r>
    <x v="0"/>
    <s v="大阪市淀川区"/>
    <x v="20"/>
    <x v="4"/>
    <n v="209"/>
    <n v="3.28"/>
    <n v="9"/>
    <n v="0.37"/>
    <n v="200"/>
    <n v="5.09"/>
    <x v="0"/>
  </r>
  <r>
    <x v="0"/>
    <s v="大阪市淀川区"/>
    <x v="20"/>
    <x v="5"/>
    <n v="60"/>
    <n v="0.94"/>
    <n v="14"/>
    <n v="0.57999999999999996"/>
    <n v="45"/>
    <n v="1.1399999999999999"/>
    <x v="18"/>
  </r>
  <r>
    <x v="0"/>
    <s v="大阪市淀川区"/>
    <x v="20"/>
    <x v="6"/>
    <n v="1563"/>
    <n v="24.54"/>
    <n v="407"/>
    <n v="16.829999999999998"/>
    <n v="1156"/>
    <n v="29.39"/>
    <x v="0"/>
  </r>
  <r>
    <x v="0"/>
    <s v="大阪市淀川区"/>
    <x v="20"/>
    <x v="7"/>
    <n v="42"/>
    <n v="0.66"/>
    <n v="4"/>
    <n v="0.17"/>
    <n v="38"/>
    <n v="0.97"/>
    <x v="0"/>
  </r>
  <r>
    <x v="0"/>
    <s v="大阪市淀川区"/>
    <x v="20"/>
    <x v="8"/>
    <n v="765"/>
    <n v="12.01"/>
    <n v="203"/>
    <n v="8.39"/>
    <n v="558"/>
    <n v="14.19"/>
    <x v="2"/>
  </r>
  <r>
    <x v="0"/>
    <s v="大阪市淀川区"/>
    <x v="20"/>
    <x v="9"/>
    <n v="647"/>
    <n v="10.16"/>
    <n v="286"/>
    <n v="11.82"/>
    <n v="360"/>
    <n v="9.15"/>
    <x v="18"/>
  </r>
  <r>
    <x v="0"/>
    <s v="大阪市淀川区"/>
    <x v="20"/>
    <x v="10"/>
    <n v="799"/>
    <n v="12.55"/>
    <n v="658"/>
    <n v="27.2"/>
    <n v="141"/>
    <n v="3.59"/>
    <x v="0"/>
  </r>
  <r>
    <x v="0"/>
    <s v="大阪市淀川区"/>
    <x v="20"/>
    <x v="11"/>
    <n v="445"/>
    <n v="6.99"/>
    <n v="325"/>
    <n v="13.44"/>
    <n v="119"/>
    <n v="3.03"/>
    <x v="18"/>
  </r>
  <r>
    <x v="0"/>
    <s v="大阪市淀川区"/>
    <x v="20"/>
    <x v="12"/>
    <n v="135"/>
    <n v="2.12"/>
    <n v="81"/>
    <n v="3.35"/>
    <n v="53"/>
    <n v="1.35"/>
    <x v="0"/>
  </r>
  <r>
    <x v="0"/>
    <s v="大阪市淀川区"/>
    <x v="20"/>
    <x v="13"/>
    <n v="260"/>
    <n v="4.08"/>
    <n v="175"/>
    <n v="7.23"/>
    <n v="83"/>
    <n v="2.11"/>
    <x v="12"/>
  </r>
  <r>
    <x v="0"/>
    <s v="大阪市淀川区"/>
    <x v="20"/>
    <x v="14"/>
    <n v="233"/>
    <n v="3.66"/>
    <n v="27"/>
    <n v="1.1200000000000001"/>
    <n v="199"/>
    <n v="5.0599999999999996"/>
    <x v="20"/>
  </r>
  <r>
    <x v="0"/>
    <s v="大阪市鶴見区"/>
    <x v="21"/>
    <x v="0"/>
    <n v="0"/>
    <n v="0"/>
    <n v="0"/>
    <n v="0"/>
    <n v="0"/>
    <n v="0"/>
    <x v="0"/>
  </r>
  <r>
    <x v="0"/>
    <s v="大阪市鶴見区"/>
    <x v="21"/>
    <x v="1"/>
    <n v="266"/>
    <n v="12.49"/>
    <n v="46"/>
    <n v="4.83"/>
    <n v="220"/>
    <n v="18.79"/>
    <x v="0"/>
  </r>
  <r>
    <x v="0"/>
    <s v="大阪市鶴見区"/>
    <x v="21"/>
    <x v="2"/>
    <n v="332"/>
    <n v="15.59"/>
    <n v="108"/>
    <n v="11.34"/>
    <n v="224"/>
    <n v="19.13"/>
    <x v="0"/>
  </r>
  <r>
    <x v="0"/>
    <s v="大阪市鶴見区"/>
    <x v="21"/>
    <x v="3"/>
    <n v="2"/>
    <n v="0.09"/>
    <n v="0"/>
    <n v="0"/>
    <n v="2"/>
    <n v="0.17"/>
    <x v="0"/>
  </r>
  <r>
    <x v="0"/>
    <s v="大阪市鶴見区"/>
    <x v="21"/>
    <x v="4"/>
    <n v="16"/>
    <n v="0.75"/>
    <n v="1"/>
    <n v="0.11"/>
    <n v="15"/>
    <n v="1.28"/>
    <x v="0"/>
  </r>
  <r>
    <x v="0"/>
    <s v="大阪市鶴見区"/>
    <x v="21"/>
    <x v="5"/>
    <n v="32"/>
    <n v="1.5"/>
    <n v="6"/>
    <n v="0.63"/>
    <n v="26"/>
    <n v="2.2200000000000002"/>
    <x v="0"/>
  </r>
  <r>
    <x v="0"/>
    <s v="大阪市鶴見区"/>
    <x v="21"/>
    <x v="6"/>
    <n v="438"/>
    <n v="20.56"/>
    <n v="187"/>
    <n v="19.64"/>
    <n v="251"/>
    <n v="21.43"/>
    <x v="0"/>
  </r>
  <r>
    <x v="0"/>
    <s v="大阪市鶴見区"/>
    <x v="21"/>
    <x v="7"/>
    <n v="8"/>
    <n v="0.38"/>
    <n v="2"/>
    <n v="0.21"/>
    <n v="6"/>
    <n v="0.51"/>
    <x v="0"/>
  </r>
  <r>
    <x v="0"/>
    <s v="大阪市鶴見区"/>
    <x v="21"/>
    <x v="8"/>
    <n v="390"/>
    <n v="18.309999999999999"/>
    <n v="143"/>
    <n v="15.02"/>
    <n v="245"/>
    <n v="20.92"/>
    <x v="12"/>
  </r>
  <r>
    <x v="0"/>
    <s v="大阪市鶴見区"/>
    <x v="21"/>
    <x v="9"/>
    <n v="45"/>
    <n v="2.11"/>
    <n v="24"/>
    <n v="2.52"/>
    <n v="21"/>
    <n v="1.79"/>
    <x v="0"/>
  </r>
  <r>
    <x v="0"/>
    <s v="大阪市鶴見区"/>
    <x v="21"/>
    <x v="10"/>
    <n v="182"/>
    <n v="8.5399999999999991"/>
    <n v="154"/>
    <n v="16.18"/>
    <n v="28"/>
    <n v="2.39"/>
    <x v="0"/>
  </r>
  <r>
    <x v="0"/>
    <s v="大阪市鶴見区"/>
    <x v="21"/>
    <x v="11"/>
    <n v="208"/>
    <n v="9.77"/>
    <n v="160"/>
    <n v="16.809999999999999"/>
    <n v="48"/>
    <n v="4.0999999999999996"/>
    <x v="0"/>
  </r>
  <r>
    <x v="0"/>
    <s v="大阪市鶴見区"/>
    <x v="21"/>
    <x v="12"/>
    <n v="58"/>
    <n v="2.72"/>
    <n v="42"/>
    <n v="4.41"/>
    <n v="14"/>
    <n v="1.2"/>
    <x v="18"/>
  </r>
  <r>
    <x v="0"/>
    <s v="大阪市鶴見区"/>
    <x v="21"/>
    <x v="13"/>
    <n v="92"/>
    <n v="4.32"/>
    <n v="58"/>
    <n v="6.09"/>
    <n v="31"/>
    <n v="2.65"/>
    <x v="1"/>
  </r>
  <r>
    <x v="0"/>
    <s v="大阪市鶴見区"/>
    <x v="21"/>
    <x v="14"/>
    <n v="61"/>
    <n v="2.86"/>
    <n v="21"/>
    <n v="2.21"/>
    <n v="40"/>
    <n v="3.42"/>
    <x v="0"/>
  </r>
  <r>
    <x v="0"/>
    <s v="大阪市住之江区"/>
    <x v="22"/>
    <x v="0"/>
    <n v="0"/>
    <n v="0"/>
    <n v="0"/>
    <n v="0"/>
    <n v="0"/>
    <n v="0"/>
    <x v="0"/>
  </r>
  <r>
    <x v="0"/>
    <s v="大阪市住之江区"/>
    <x v="22"/>
    <x v="1"/>
    <n v="247"/>
    <n v="10.119999999999999"/>
    <n v="44"/>
    <n v="3.84"/>
    <n v="203"/>
    <n v="15.71"/>
    <x v="0"/>
  </r>
  <r>
    <x v="0"/>
    <s v="大阪市住之江区"/>
    <x v="22"/>
    <x v="2"/>
    <n v="233"/>
    <n v="9.5500000000000007"/>
    <n v="65"/>
    <n v="5.67"/>
    <n v="168"/>
    <n v="13"/>
    <x v="0"/>
  </r>
  <r>
    <x v="0"/>
    <s v="大阪市住之江区"/>
    <x v="22"/>
    <x v="3"/>
    <n v="3"/>
    <n v="0.12"/>
    <n v="0"/>
    <n v="0"/>
    <n v="3"/>
    <n v="0.23"/>
    <x v="0"/>
  </r>
  <r>
    <x v="0"/>
    <s v="大阪市住之江区"/>
    <x v="22"/>
    <x v="4"/>
    <n v="21"/>
    <n v="0.86"/>
    <n v="1"/>
    <n v="0.09"/>
    <n v="20"/>
    <n v="1.55"/>
    <x v="0"/>
  </r>
  <r>
    <x v="0"/>
    <s v="大阪市住之江区"/>
    <x v="22"/>
    <x v="5"/>
    <n v="136"/>
    <n v="5.57"/>
    <n v="14"/>
    <n v="1.22"/>
    <n v="122"/>
    <n v="9.44"/>
    <x v="0"/>
  </r>
  <r>
    <x v="0"/>
    <s v="大阪市住之江区"/>
    <x v="22"/>
    <x v="6"/>
    <n v="670"/>
    <n v="27.46"/>
    <n v="348"/>
    <n v="30.37"/>
    <n v="322"/>
    <n v="24.92"/>
    <x v="0"/>
  </r>
  <r>
    <x v="0"/>
    <s v="大阪市住之江区"/>
    <x v="22"/>
    <x v="7"/>
    <n v="9"/>
    <n v="0.37"/>
    <n v="1"/>
    <n v="0.09"/>
    <n v="8"/>
    <n v="0.62"/>
    <x v="0"/>
  </r>
  <r>
    <x v="0"/>
    <s v="大阪市住之江区"/>
    <x v="22"/>
    <x v="8"/>
    <n v="270"/>
    <n v="11.07"/>
    <n v="93"/>
    <n v="8.1199999999999992"/>
    <n v="177"/>
    <n v="13.7"/>
    <x v="0"/>
  </r>
  <r>
    <x v="0"/>
    <s v="大阪市住之江区"/>
    <x v="22"/>
    <x v="9"/>
    <n v="75"/>
    <n v="3.07"/>
    <n v="30"/>
    <n v="2.62"/>
    <n v="45"/>
    <n v="3.48"/>
    <x v="0"/>
  </r>
  <r>
    <x v="0"/>
    <s v="大阪市住之江区"/>
    <x v="22"/>
    <x v="10"/>
    <n v="267"/>
    <n v="10.94"/>
    <n v="231"/>
    <n v="20.16"/>
    <n v="36"/>
    <n v="2.79"/>
    <x v="0"/>
  </r>
  <r>
    <x v="0"/>
    <s v="大阪市住之江区"/>
    <x v="22"/>
    <x v="11"/>
    <n v="242"/>
    <n v="9.92"/>
    <n v="193"/>
    <n v="16.84"/>
    <n v="49"/>
    <n v="3.79"/>
    <x v="0"/>
  </r>
  <r>
    <x v="0"/>
    <s v="大阪市住之江区"/>
    <x v="22"/>
    <x v="12"/>
    <n v="36"/>
    <n v="1.48"/>
    <n v="23"/>
    <n v="2.0099999999999998"/>
    <n v="12"/>
    <n v="0.93"/>
    <x v="0"/>
  </r>
  <r>
    <x v="0"/>
    <s v="大阪市住之江区"/>
    <x v="22"/>
    <x v="13"/>
    <n v="139"/>
    <n v="5.7"/>
    <n v="80"/>
    <n v="6.98"/>
    <n v="58"/>
    <n v="4.49"/>
    <x v="18"/>
  </r>
  <r>
    <x v="0"/>
    <s v="大阪市住之江区"/>
    <x v="22"/>
    <x v="14"/>
    <n v="92"/>
    <n v="3.77"/>
    <n v="23"/>
    <n v="2.0099999999999998"/>
    <n v="69"/>
    <n v="5.34"/>
    <x v="0"/>
  </r>
  <r>
    <x v="0"/>
    <s v="大阪市平野区"/>
    <x v="23"/>
    <x v="0"/>
    <n v="0"/>
    <n v="0"/>
    <n v="0"/>
    <n v="0"/>
    <n v="0"/>
    <n v="0"/>
    <x v="0"/>
  </r>
  <r>
    <x v="0"/>
    <s v="大阪市平野区"/>
    <x v="23"/>
    <x v="1"/>
    <n v="492"/>
    <n v="10.63"/>
    <n v="93"/>
    <n v="4.12"/>
    <n v="398"/>
    <n v="16.8"/>
    <x v="18"/>
  </r>
  <r>
    <x v="0"/>
    <s v="大阪市平野区"/>
    <x v="23"/>
    <x v="2"/>
    <n v="1177"/>
    <n v="25.42"/>
    <n v="498"/>
    <n v="22.08"/>
    <n v="679"/>
    <n v="28.66"/>
    <x v="0"/>
  </r>
  <r>
    <x v="0"/>
    <s v="大阪市平野区"/>
    <x v="23"/>
    <x v="3"/>
    <n v="0"/>
    <n v="0"/>
    <n v="0"/>
    <n v="0"/>
    <n v="0"/>
    <n v="0"/>
    <x v="0"/>
  </r>
  <r>
    <x v="0"/>
    <s v="大阪市平野区"/>
    <x v="23"/>
    <x v="4"/>
    <n v="26"/>
    <n v="0.56000000000000005"/>
    <n v="1"/>
    <n v="0.04"/>
    <n v="25"/>
    <n v="1.06"/>
    <x v="0"/>
  </r>
  <r>
    <x v="0"/>
    <s v="大阪市平野区"/>
    <x v="23"/>
    <x v="5"/>
    <n v="38"/>
    <n v="0.82"/>
    <n v="13"/>
    <n v="0.57999999999999996"/>
    <n v="25"/>
    <n v="1.06"/>
    <x v="0"/>
  </r>
  <r>
    <x v="0"/>
    <s v="大阪市平野区"/>
    <x v="23"/>
    <x v="6"/>
    <n v="876"/>
    <n v="18.920000000000002"/>
    <n v="494"/>
    <n v="21.91"/>
    <n v="381"/>
    <n v="16.079999999999998"/>
    <x v="18"/>
  </r>
  <r>
    <x v="0"/>
    <s v="大阪市平野区"/>
    <x v="23"/>
    <x v="7"/>
    <n v="8"/>
    <n v="0.17"/>
    <n v="0"/>
    <n v="0"/>
    <n v="8"/>
    <n v="0.34"/>
    <x v="0"/>
  </r>
  <r>
    <x v="0"/>
    <s v="大阪市平野区"/>
    <x v="23"/>
    <x v="8"/>
    <n v="616"/>
    <n v="13.3"/>
    <n v="125"/>
    <n v="5.54"/>
    <n v="490"/>
    <n v="20.68"/>
    <x v="18"/>
  </r>
  <r>
    <x v="0"/>
    <s v="大阪市平野区"/>
    <x v="23"/>
    <x v="9"/>
    <n v="111"/>
    <n v="2.4"/>
    <n v="49"/>
    <n v="2.17"/>
    <n v="62"/>
    <n v="2.62"/>
    <x v="0"/>
  </r>
  <r>
    <x v="0"/>
    <s v="大阪市平野区"/>
    <x v="23"/>
    <x v="10"/>
    <n v="463"/>
    <n v="10"/>
    <n v="420"/>
    <n v="18.63"/>
    <n v="43"/>
    <n v="1.82"/>
    <x v="0"/>
  </r>
  <r>
    <x v="0"/>
    <s v="大阪市平野区"/>
    <x v="23"/>
    <x v="11"/>
    <n v="355"/>
    <n v="7.67"/>
    <n v="286"/>
    <n v="12.68"/>
    <n v="69"/>
    <n v="2.91"/>
    <x v="0"/>
  </r>
  <r>
    <x v="0"/>
    <s v="大阪市平野区"/>
    <x v="23"/>
    <x v="12"/>
    <n v="77"/>
    <n v="1.66"/>
    <n v="54"/>
    <n v="2.39"/>
    <n v="22"/>
    <n v="0.93"/>
    <x v="0"/>
  </r>
  <r>
    <x v="0"/>
    <s v="大阪市平野区"/>
    <x v="23"/>
    <x v="13"/>
    <n v="275"/>
    <n v="5.94"/>
    <n v="175"/>
    <n v="7.76"/>
    <n v="99"/>
    <n v="4.18"/>
    <x v="18"/>
  </r>
  <r>
    <x v="0"/>
    <s v="大阪市平野区"/>
    <x v="23"/>
    <x v="14"/>
    <n v="116"/>
    <n v="2.5099999999999998"/>
    <n v="47"/>
    <n v="2.08"/>
    <n v="68"/>
    <n v="2.87"/>
    <x v="18"/>
  </r>
  <r>
    <x v="0"/>
    <s v="大阪市北区"/>
    <x v="24"/>
    <x v="0"/>
    <n v="0"/>
    <n v="0"/>
    <n v="0"/>
    <n v="0"/>
    <n v="0"/>
    <n v="0"/>
    <x v="0"/>
  </r>
  <r>
    <x v="0"/>
    <s v="大阪市北区"/>
    <x v="24"/>
    <x v="1"/>
    <n v="537"/>
    <n v="4.0199999999999996"/>
    <n v="39"/>
    <n v="0.74"/>
    <n v="498"/>
    <n v="6.18"/>
    <x v="0"/>
  </r>
  <r>
    <x v="0"/>
    <s v="大阪市北区"/>
    <x v="24"/>
    <x v="2"/>
    <n v="545"/>
    <n v="4.08"/>
    <n v="104"/>
    <n v="1.97"/>
    <n v="441"/>
    <n v="5.47"/>
    <x v="0"/>
  </r>
  <r>
    <x v="0"/>
    <s v="大阪市北区"/>
    <x v="24"/>
    <x v="3"/>
    <n v="12"/>
    <n v="0.09"/>
    <n v="0"/>
    <n v="0"/>
    <n v="12"/>
    <n v="0.15"/>
    <x v="0"/>
  </r>
  <r>
    <x v="0"/>
    <s v="大阪市北区"/>
    <x v="24"/>
    <x v="4"/>
    <n v="689"/>
    <n v="5.15"/>
    <n v="38"/>
    <n v="0.72"/>
    <n v="651"/>
    <n v="8.07"/>
    <x v="0"/>
  </r>
  <r>
    <x v="0"/>
    <s v="大阪市北区"/>
    <x v="24"/>
    <x v="5"/>
    <n v="86"/>
    <n v="0.64"/>
    <n v="2"/>
    <n v="0.04"/>
    <n v="84"/>
    <n v="1.04"/>
    <x v="0"/>
  </r>
  <r>
    <x v="0"/>
    <s v="大阪市北区"/>
    <x v="24"/>
    <x v="6"/>
    <n v="2562"/>
    <n v="19.170000000000002"/>
    <n v="532"/>
    <n v="10.09"/>
    <n v="2029"/>
    <n v="25.16"/>
    <x v="18"/>
  </r>
  <r>
    <x v="0"/>
    <s v="大阪市北区"/>
    <x v="24"/>
    <x v="7"/>
    <n v="106"/>
    <n v="0.79"/>
    <n v="9"/>
    <n v="0.17"/>
    <n v="97"/>
    <n v="1.2"/>
    <x v="0"/>
  </r>
  <r>
    <x v="0"/>
    <s v="大阪市北区"/>
    <x v="24"/>
    <x v="8"/>
    <n v="1551"/>
    <n v="11.6"/>
    <n v="281"/>
    <n v="5.33"/>
    <n v="1270"/>
    <n v="15.75"/>
    <x v="0"/>
  </r>
  <r>
    <x v="0"/>
    <s v="大阪市北区"/>
    <x v="24"/>
    <x v="9"/>
    <n v="2782"/>
    <n v="20.81"/>
    <n v="1679"/>
    <n v="31.83"/>
    <n v="1094"/>
    <n v="13.57"/>
    <x v="4"/>
  </r>
  <r>
    <x v="0"/>
    <s v="大阪市北区"/>
    <x v="24"/>
    <x v="10"/>
    <n v="2480"/>
    <n v="18.55"/>
    <n v="1833"/>
    <n v="34.75"/>
    <n v="645"/>
    <n v="8"/>
    <x v="12"/>
  </r>
  <r>
    <x v="0"/>
    <s v="大阪市北区"/>
    <x v="24"/>
    <x v="11"/>
    <n v="789"/>
    <n v="5.9"/>
    <n v="379"/>
    <n v="7.18"/>
    <n v="408"/>
    <n v="5.0599999999999996"/>
    <x v="12"/>
  </r>
  <r>
    <x v="0"/>
    <s v="大阪市北区"/>
    <x v="24"/>
    <x v="12"/>
    <n v="281"/>
    <n v="2.1"/>
    <n v="102"/>
    <n v="1.93"/>
    <n v="176"/>
    <n v="2.1800000000000002"/>
    <x v="12"/>
  </r>
  <r>
    <x v="0"/>
    <s v="大阪市北区"/>
    <x v="24"/>
    <x v="13"/>
    <n v="408"/>
    <n v="3.05"/>
    <n v="241"/>
    <n v="4.57"/>
    <n v="165"/>
    <n v="2.0499999999999998"/>
    <x v="12"/>
  </r>
  <r>
    <x v="0"/>
    <s v="大阪市北区"/>
    <x v="24"/>
    <x v="14"/>
    <n v="540"/>
    <n v="4.04"/>
    <n v="36"/>
    <n v="0.68"/>
    <n v="494"/>
    <n v="6.13"/>
    <x v="4"/>
  </r>
  <r>
    <x v="0"/>
    <s v="大阪市中央区"/>
    <x v="25"/>
    <x v="0"/>
    <n v="0"/>
    <n v="0"/>
    <n v="0"/>
    <n v="0"/>
    <n v="0"/>
    <n v="0"/>
    <x v="0"/>
  </r>
  <r>
    <x v="0"/>
    <s v="大阪市中央区"/>
    <x v="25"/>
    <x v="1"/>
    <n v="534"/>
    <n v="3.37"/>
    <n v="13"/>
    <n v="0.24"/>
    <n v="521"/>
    <n v="4.99"/>
    <x v="0"/>
  </r>
  <r>
    <x v="0"/>
    <s v="大阪市中央区"/>
    <x v="25"/>
    <x v="2"/>
    <n v="752"/>
    <n v="4.74"/>
    <n v="133"/>
    <n v="2.4700000000000002"/>
    <n v="619"/>
    <n v="5.93"/>
    <x v="0"/>
  </r>
  <r>
    <x v="0"/>
    <s v="大阪市中央区"/>
    <x v="25"/>
    <x v="3"/>
    <n v="15"/>
    <n v="0.09"/>
    <n v="0"/>
    <n v="0"/>
    <n v="15"/>
    <n v="0.14000000000000001"/>
    <x v="0"/>
  </r>
  <r>
    <x v="0"/>
    <s v="大阪市中央区"/>
    <x v="25"/>
    <x v="4"/>
    <n v="601"/>
    <n v="3.79"/>
    <n v="43"/>
    <n v="0.8"/>
    <n v="555"/>
    <n v="5.31"/>
    <x v="1"/>
  </r>
  <r>
    <x v="0"/>
    <s v="大阪市中央区"/>
    <x v="25"/>
    <x v="5"/>
    <n v="141"/>
    <n v="0.89"/>
    <n v="7"/>
    <n v="0.13"/>
    <n v="133"/>
    <n v="1.27"/>
    <x v="18"/>
  </r>
  <r>
    <x v="0"/>
    <s v="大阪市中央区"/>
    <x v="25"/>
    <x v="6"/>
    <n v="4354"/>
    <n v="27.44"/>
    <n v="787"/>
    <n v="14.62"/>
    <n v="3566"/>
    <n v="34.15"/>
    <x v="18"/>
  </r>
  <r>
    <x v="0"/>
    <s v="大阪市中央区"/>
    <x v="25"/>
    <x v="7"/>
    <n v="191"/>
    <n v="1.2"/>
    <n v="9"/>
    <n v="0.17"/>
    <n v="182"/>
    <n v="1.74"/>
    <x v="0"/>
  </r>
  <r>
    <x v="0"/>
    <s v="大阪市中央区"/>
    <x v="25"/>
    <x v="8"/>
    <n v="1937"/>
    <n v="12.21"/>
    <n v="176"/>
    <n v="3.27"/>
    <n v="1759"/>
    <n v="16.84"/>
    <x v="12"/>
  </r>
  <r>
    <x v="0"/>
    <s v="大阪市中央区"/>
    <x v="25"/>
    <x v="9"/>
    <n v="2972"/>
    <n v="18.73"/>
    <n v="1671"/>
    <n v="31.04"/>
    <n v="1294"/>
    <n v="12.39"/>
    <x v="20"/>
  </r>
  <r>
    <x v="0"/>
    <s v="大阪市中央区"/>
    <x v="25"/>
    <x v="10"/>
    <n v="2154"/>
    <n v="13.57"/>
    <n v="1607"/>
    <n v="29.85"/>
    <n v="546"/>
    <n v="5.23"/>
    <x v="0"/>
  </r>
  <r>
    <x v="0"/>
    <s v="大阪市中央区"/>
    <x v="25"/>
    <x v="11"/>
    <n v="863"/>
    <n v="5.44"/>
    <n v="470"/>
    <n v="8.73"/>
    <n v="393"/>
    <n v="3.76"/>
    <x v="0"/>
  </r>
  <r>
    <x v="0"/>
    <s v="大阪市中央区"/>
    <x v="25"/>
    <x v="12"/>
    <n v="298"/>
    <n v="1.88"/>
    <n v="140"/>
    <n v="2.6"/>
    <n v="152"/>
    <n v="1.46"/>
    <x v="1"/>
  </r>
  <r>
    <x v="0"/>
    <s v="大阪市中央区"/>
    <x v="25"/>
    <x v="13"/>
    <n v="434"/>
    <n v="2.73"/>
    <n v="263"/>
    <n v="4.88"/>
    <n v="164"/>
    <n v="1.57"/>
    <x v="20"/>
  </r>
  <r>
    <x v="0"/>
    <s v="大阪市中央区"/>
    <x v="25"/>
    <x v="14"/>
    <n v="623"/>
    <n v="3.93"/>
    <n v="65"/>
    <n v="1.21"/>
    <n v="544"/>
    <n v="5.21"/>
    <x v="21"/>
  </r>
  <r>
    <x v="0"/>
    <s v="堺市"/>
    <x v="26"/>
    <x v="0"/>
    <n v="0"/>
    <n v="0"/>
    <n v="0"/>
    <n v="0"/>
    <n v="0"/>
    <n v="0"/>
    <x v="0"/>
  </r>
  <r>
    <x v="0"/>
    <s v="堺市"/>
    <x v="26"/>
    <x v="1"/>
    <n v="2044"/>
    <n v="13.64"/>
    <n v="395"/>
    <n v="5.38"/>
    <n v="1649"/>
    <n v="21.67"/>
    <x v="0"/>
  </r>
  <r>
    <x v="0"/>
    <s v="堺市"/>
    <x v="26"/>
    <x v="2"/>
    <n v="1714"/>
    <n v="11.44"/>
    <n v="575"/>
    <n v="7.83"/>
    <n v="1139"/>
    <n v="14.97"/>
    <x v="0"/>
  </r>
  <r>
    <x v="0"/>
    <s v="堺市"/>
    <x v="26"/>
    <x v="3"/>
    <n v="9"/>
    <n v="0.06"/>
    <n v="0"/>
    <n v="0"/>
    <n v="9"/>
    <n v="0.12"/>
    <x v="0"/>
  </r>
  <r>
    <x v="0"/>
    <s v="堺市"/>
    <x v="26"/>
    <x v="4"/>
    <n v="110"/>
    <n v="0.73"/>
    <n v="6"/>
    <n v="0.08"/>
    <n v="104"/>
    <n v="1.37"/>
    <x v="0"/>
  </r>
  <r>
    <x v="0"/>
    <s v="堺市"/>
    <x v="26"/>
    <x v="5"/>
    <n v="264"/>
    <n v="1.76"/>
    <n v="127"/>
    <n v="1.73"/>
    <n v="136"/>
    <n v="1.79"/>
    <x v="0"/>
  </r>
  <r>
    <x v="0"/>
    <s v="堺市"/>
    <x v="26"/>
    <x v="6"/>
    <n v="2957"/>
    <n v="19.73"/>
    <n v="1460"/>
    <n v="19.87"/>
    <n v="1496"/>
    <n v="19.66"/>
    <x v="18"/>
  </r>
  <r>
    <x v="0"/>
    <s v="堺市"/>
    <x v="26"/>
    <x v="7"/>
    <n v="88"/>
    <n v="0.59"/>
    <n v="13"/>
    <n v="0.18"/>
    <n v="75"/>
    <n v="0.99"/>
    <x v="0"/>
  </r>
  <r>
    <x v="0"/>
    <s v="堺市"/>
    <x v="26"/>
    <x v="8"/>
    <n v="1794"/>
    <n v="11.97"/>
    <n v="431"/>
    <n v="5.87"/>
    <n v="1361"/>
    <n v="17.88"/>
    <x v="18"/>
  </r>
  <r>
    <x v="0"/>
    <s v="堺市"/>
    <x v="26"/>
    <x v="9"/>
    <n v="683"/>
    <n v="4.5599999999999996"/>
    <n v="351"/>
    <n v="4.78"/>
    <n v="326"/>
    <n v="4.28"/>
    <x v="2"/>
  </r>
  <r>
    <x v="0"/>
    <s v="堺市"/>
    <x v="26"/>
    <x v="10"/>
    <n v="1756"/>
    <n v="11.72"/>
    <n v="1523"/>
    <n v="20.73"/>
    <n v="231"/>
    <n v="3.04"/>
    <x v="18"/>
  </r>
  <r>
    <x v="0"/>
    <s v="堺市"/>
    <x v="26"/>
    <x v="11"/>
    <n v="1659"/>
    <n v="11.07"/>
    <n v="1333"/>
    <n v="18.14"/>
    <n v="325"/>
    <n v="4.2699999999999996"/>
    <x v="18"/>
  </r>
  <r>
    <x v="0"/>
    <s v="堺市"/>
    <x v="26"/>
    <x v="12"/>
    <n v="499"/>
    <n v="3.33"/>
    <n v="366"/>
    <n v="4.9800000000000004"/>
    <n v="130"/>
    <n v="1.71"/>
    <x v="18"/>
  </r>
  <r>
    <x v="0"/>
    <s v="堺市"/>
    <x v="26"/>
    <x v="13"/>
    <n v="916"/>
    <n v="6.11"/>
    <n v="577"/>
    <n v="7.85"/>
    <n v="333"/>
    <n v="4.38"/>
    <x v="18"/>
  </r>
  <r>
    <x v="0"/>
    <s v="堺市"/>
    <x v="26"/>
    <x v="14"/>
    <n v="493"/>
    <n v="3.29"/>
    <n v="190"/>
    <n v="2.59"/>
    <n v="297"/>
    <n v="3.9"/>
    <x v="13"/>
  </r>
  <r>
    <x v="0"/>
    <s v="堺市堺区"/>
    <x v="27"/>
    <x v="0"/>
    <n v="0"/>
    <n v="0"/>
    <n v="0"/>
    <n v="0"/>
    <n v="0"/>
    <n v="0"/>
    <x v="0"/>
  </r>
  <r>
    <x v="0"/>
    <s v="堺市堺区"/>
    <x v="27"/>
    <x v="1"/>
    <n v="377"/>
    <n v="9.39"/>
    <n v="71"/>
    <n v="3.5"/>
    <n v="306"/>
    <n v="15.51"/>
    <x v="0"/>
  </r>
  <r>
    <x v="0"/>
    <s v="堺市堺区"/>
    <x v="27"/>
    <x v="2"/>
    <n v="446"/>
    <n v="11.11"/>
    <n v="141"/>
    <n v="6.96"/>
    <n v="305"/>
    <n v="15.46"/>
    <x v="0"/>
  </r>
  <r>
    <x v="0"/>
    <s v="堺市堺区"/>
    <x v="27"/>
    <x v="3"/>
    <n v="3"/>
    <n v="7.0000000000000007E-2"/>
    <n v="0"/>
    <n v="0"/>
    <n v="3"/>
    <n v="0.15"/>
    <x v="0"/>
  </r>
  <r>
    <x v="0"/>
    <s v="堺市堺区"/>
    <x v="27"/>
    <x v="4"/>
    <n v="32"/>
    <n v="0.8"/>
    <n v="2"/>
    <n v="0.1"/>
    <n v="30"/>
    <n v="1.52"/>
    <x v="0"/>
  </r>
  <r>
    <x v="0"/>
    <s v="堺市堺区"/>
    <x v="27"/>
    <x v="5"/>
    <n v="67"/>
    <n v="1.67"/>
    <n v="23"/>
    <n v="1.1299999999999999"/>
    <n v="44"/>
    <n v="2.23"/>
    <x v="0"/>
  </r>
  <r>
    <x v="0"/>
    <s v="堺市堺区"/>
    <x v="27"/>
    <x v="6"/>
    <n v="880"/>
    <n v="21.91"/>
    <n v="416"/>
    <n v="20.52"/>
    <n v="463"/>
    <n v="23.47"/>
    <x v="18"/>
  </r>
  <r>
    <x v="0"/>
    <s v="堺市堺区"/>
    <x v="27"/>
    <x v="7"/>
    <n v="23"/>
    <n v="0.56999999999999995"/>
    <n v="4"/>
    <n v="0.2"/>
    <n v="19"/>
    <n v="0.96"/>
    <x v="0"/>
  </r>
  <r>
    <x v="0"/>
    <s v="堺市堺区"/>
    <x v="27"/>
    <x v="8"/>
    <n v="406"/>
    <n v="10.11"/>
    <n v="73"/>
    <n v="3.6"/>
    <n v="331"/>
    <n v="16.78"/>
    <x v="18"/>
  </r>
  <r>
    <x v="0"/>
    <s v="堺市堺区"/>
    <x v="27"/>
    <x v="9"/>
    <n v="256"/>
    <n v="6.37"/>
    <n v="160"/>
    <n v="7.89"/>
    <n v="91"/>
    <n v="4.6100000000000003"/>
    <x v="1"/>
  </r>
  <r>
    <x v="0"/>
    <s v="堺市堺区"/>
    <x v="27"/>
    <x v="10"/>
    <n v="647"/>
    <n v="16.11"/>
    <n v="565"/>
    <n v="27.87"/>
    <n v="81"/>
    <n v="4.1100000000000003"/>
    <x v="18"/>
  </r>
  <r>
    <x v="0"/>
    <s v="堺市堺区"/>
    <x v="27"/>
    <x v="11"/>
    <n v="385"/>
    <n v="9.59"/>
    <n v="297"/>
    <n v="14.65"/>
    <n v="88"/>
    <n v="4.46"/>
    <x v="0"/>
  </r>
  <r>
    <x v="0"/>
    <s v="堺市堺区"/>
    <x v="27"/>
    <x v="12"/>
    <n v="137"/>
    <n v="3.41"/>
    <n v="96"/>
    <n v="4.74"/>
    <n v="40"/>
    <n v="2.0299999999999998"/>
    <x v="0"/>
  </r>
  <r>
    <x v="0"/>
    <s v="堺市堺区"/>
    <x v="27"/>
    <x v="13"/>
    <n v="247"/>
    <n v="6.15"/>
    <n v="153"/>
    <n v="7.55"/>
    <n v="92"/>
    <n v="4.66"/>
    <x v="18"/>
  </r>
  <r>
    <x v="0"/>
    <s v="堺市堺区"/>
    <x v="27"/>
    <x v="14"/>
    <n v="110"/>
    <n v="2.74"/>
    <n v="26"/>
    <n v="1.28"/>
    <n v="80"/>
    <n v="4.05"/>
    <x v="1"/>
  </r>
  <r>
    <x v="0"/>
    <s v="堺市中区"/>
    <x v="28"/>
    <x v="0"/>
    <n v="0"/>
    <n v="0"/>
    <n v="0"/>
    <n v="0"/>
    <n v="0"/>
    <n v="0"/>
    <x v="0"/>
  </r>
  <r>
    <x v="0"/>
    <s v="堺市中区"/>
    <x v="28"/>
    <x v="1"/>
    <n v="394"/>
    <n v="17.7"/>
    <n v="82"/>
    <n v="7.22"/>
    <n v="312"/>
    <n v="28.65"/>
    <x v="0"/>
  </r>
  <r>
    <x v="0"/>
    <s v="堺市中区"/>
    <x v="28"/>
    <x v="2"/>
    <n v="282"/>
    <n v="12.67"/>
    <n v="108"/>
    <n v="9.51"/>
    <n v="174"/>
    <n v="15.98"/>
    <x v="0"/>
  </r>
  <r>
    <x v="0"/>
    <s v="堺市中区"/>
    <x v="28"/>
    <x v="3"/>
    <n v="1"/>
    <n v="0.04"/>
    <n v="0"/>
    <n v="0"/>
    <n v="1"/>
    <n v="0.09"/>
    <x v="0"/>
  </r>
  <r>
    <x v="0"/>
    <s v="堺市中区"/>
    <x v="28"/>
    <x v="4"/>
    <n v="20"/>
    <n v="0.9"/>
    <n v="2"/>
    <n v="0.18"/>
    <n v="18"/>
    <n v="1.65"/>
    <x v="0"/>
  </r>
  <r>
    <x v="0"/>
    <s v="堺市中区"/>
    <x v="28"/>
    <x v="5"/>
    <n v="60"/>
    <n v="2.7"/>
    <n v="38"/>
    <n v="3.35"/>
    <n v="22"/>
    <n v="2.02"/>
    <x v="0"/>
  </r>
  <r>
    <x v="0"/>
    <s v="堺市中区"/>
    <x v="28"/>
    <x v="6"/>
    <n v="400"/>
    <n v="17.97"/>
    <n v="222"/>
    <n v="19.54"/>
    <n v="178"/>
    <n v="16.350000000000001"/>
    <x v="0"/>
  </r>
  <r>
    <x v="0"/>
    <s v="堺市中区"/>
    <x v="28"/>
    <x v="7"/>
    <n v="13"/>
    <n v="0.57999999999999996"/>
    <n v="0"/>
    <n v="0"/>
    <n v="13"/>
    <n v="1.19"/>
    <x v="0"/>
  </r>
  <r>
    <x v="0"/>
    <s v="堺市中区"/>
    <x v="28"/>
    <x v="8"/>
    <n v="255"/>
    <n v="11.46"/>
    <n v="69"/>
    <n v="6.07"/>
    <n v="186"/>
    <n v="17.079999999999998"/>
    <x v="0"/>
  </r>
  <r>
    <x v="0"/>
    <s v="堺市中区"/>
    <x v="28"/>
    <x v="9"/>
    <n v="69"/>
    <n v="3.1"/>
    <n v="35"/>
    <n v="3.08"/>
    <n v="34"/>
    <n v="3.12"/>
    <x v="0"/>
  </r>
  <r>
    <x v="0"/>
    <s v="堺市中区"/>
    <x v="28"/>
    <x v="10"/>
    <n v="232"/>
    <n v="10.42"/>
    <n v="211"/>
    <n v="18.57"/>
    <n v="21"/>
    <n v="1.93"/>
    <x v="0"/>
  </r>
  <r>
    <x v="0"/>
    <s v="堺市中区"/>
    <x v="28"/>
    <x v="11"/>
    <n v="246"/>
    <n v="11.05"/>
    <n v="210"/>
    <n v="18.489999999999998"/>
    <n v="36"/>
    <n v="3.31"/>
    <x v="0"/>
  </r>
  <r>
    <x v="0"/>
    <s v="堺市中区"/>
    <x v="28"/>
    <x v="12"/>
    <n v="65"/>
    <n v="2.92"/>
    <n v="50"/>
    <n v="4.4000000000000004"/>
    <n v="14"/>
    <n v="1.29"/>
    <x v="0"/>
  </r>
  <r>
    <x v="0"/>
    <s v="堺市中区"/>
    <x v="28"/>
    <x v="13"/>
    <n v="120"/>
    <n v="5.39"/>
    <n v="78"/>
    <n v="6.87"/>
    <n v="42"/>
    <n v="3.86"/>
    <x v="0"/>
  </r>
  <r>
    <x v="0"/>
    <s v="堺市中区"/>
    <x v="28"/>
    <x v="14"/>
    <n v="69"/>
    <n v="3.1"/>
    <n v="31"/>
    <n v="2.73"/>
    <n v="38"/>
    <n v="3.49"/>
    <x v="0"/>
  </r>
  <r>
    <x v="0"/>
    <s v="堺市東区"/>
    <x v="29"/>
    <x v="0"/>
    <n v="0"/>
    <n v="0"/>
    <n v="0"/>
    <n v="0"/>
    <n v="0"/>
    <n v="0"/>
    <x v="0"/>
  </r>
  <r>
    <x v="0"/>
    <s v="堺市東区"/>
    <x v="29"/>
    <x v="1"/>
    <n v="148"/>
    <n v="11.15"/>
    <n v="35"/>
    <n v="4.32"/>
    <n v="113"/>
    <n v="21.98"/>
    <x v="0"/>
  </r>
  <r>
    <x v="0"/>
    <s v="堺市東区"/>
    <x v="29"/>
    <x v="2"/>
    <n v="75"/>
    <n v="5.65"/>
    <n v="30"/>
    <n v="3.7"/>
    <n v="45"/>
    <n v="8.75"/>
    <x v="0"/>
  </r>
  <r>
    <x v="0"/>
    <s v="堺市東区"/>
    <x v="29"/>
    <x v="3"/>
    <n v="1"/>
    <n v="0.08"/>
    <n v="0"/>
    <n v="0"/>
    <n v="1"/>
    <n v="0.19"/>
    <x v="0"/>
  </r>
  <r>
    <x v="0"/>
    <s v="堺市東区"/>
    <x v="29"/>
    <x v="4"/>
    <n v="10"/>
    <n v="0.75"/>
    <n v="0"/>
    <n v="0"/>
    <n v="10"/>
    <n v="1.95"/>
    <x v="0"/>
  </r>
  <r>
    <x v="0"/>
    <s v="堺市東区"/>
    <x v="29"/>
    <x v="5"/>
    <n v="15"/>
    <n v="1.1299999999999999"/>
    <n v="7"/>
    <n v="0.86"/>
    <n v="8"/>
    <n v="1.56"/>
    <x v="0"/>
  </r>
  <r>
    <x v="0"/>
    <s v="堺市東区"/>
    <x v="29"/>
    <x v="6"/>
    <n v="247"/>
    <n v="18.61"/>
    <n v="145"/>
    <n v="17.88"/>
    <n v="102"/>
    <n v="19.84"/>
    <x v="0"/>
  </r>
  <r>
    <x v="0"/>
    <s v="堺市東区"/>
    <x v="29"/>
    <x v="7"/>
    <n v="3"/>
    <n v="0.23"/>
    <n v="0"/>
    <n v="0"/>
    <n v="3"/>
    <n v="0.57999999999999996"/>
    <x v="0"/>
  </r>
  <r>
    <x v="0"/>
    <s v="堺市東区"/>
    <x v="29"/>
    <x v="8"/>
    <n v="182"/>
    <n v="13.72"/>
    <n v="69"/>
    <n v="8.51"/>
    <n v="113"/>
    <n v="21.98"/>
    <x v="0"/>
  </r>
  <r>
    <x v="0"/>
    <s v="堺市東区"/>
    <x v="29"/>
    <x v="9"/>
    <n v="55"/>
    <n v="4.1399999999999997"/>
    <n v="34"/>
    <n v="4.1900000000000004"/>
    <n v="20"/>
    <n v="3.89"/>
    <x v="18"/>
  </r>
  <r>
    <x v="0"/>
    <s v="堺市東区"/>
    <x v="29"/>
    <x v="10"/>
    <n v="157"/>
    <n v="11.83"/>
    <n v="148"/>
    <n v="18.25"/>
    <n v="9"/>
    <n v="1.75"/>
    <x v="0"/>
  </r>
  <r>
    <x v="0"/>
    <s v="堺市東区"/>
    <x v="29"/>
    <x v="11"/>
    <n v="240"/>
    <n v="18.09"/>
    <n v="203"/>
    <n v="25.03"/>
    <n v="37"/>
    <n v="7.2"/>
    <x v="0"/>
  </r>
  <r>
    <x v="0"/>
    <s v="堺市東区"/>
    <x v="29"/>
    <x v="12"/>
    <n v="57"/>
    <n v="4.3"/>
    <n v="48"/>
    <n v="5.92"/>
    <n v="9"/>
    <n v="1.75"/>
    <x v="0"/>
  </r>
  <r>
    <x v="0"/>
    <s v="堺市東区"/>
    <x v="29"/>
    <x v="13"/>
    <n v="101"/>
    <n v="7.61"/>
    <n v="76"/>
    <n v="9.3699999999999992"/>
    <n v="25"/>
    <n v="4.8600000000000003"/>
    <x v="0"/>
  </r>
  <r>
    <x v="0"/>
    <s v="堺市東区"/>
    <x v="29"/>
    <x v="14"/>
    <n v="36"/>
    <n v="2.71"/>
    <n v="16"/>
    <n v="1.97"/>
    <n v="19"/>
    <n v="3.7"/>
    <x v="18"/>
  </r>
  <r>
    <x v="0"/>
    <s v="堺市西区"/>
    <x v="30"/>
    <x v="0"/>
    <n v="0"/>
    <n v="0"/>
    <n v="0"/>
    <n v="0"/>
    <n v="0"/>
    <n v="0"/>
    <x v="0"/>
  </r>
  <r>
    <x v="0"/>
    <s v="堺市西区"/>
    <x v="30"/>
    <x v="1"/>
    <n v="350"/>
    <n v="14.63"/>
    <n v="66"/>
    <n v="5.63"/>
    <n v="284"/>
    <n v="23.32"/>
    <x v="0"/>
  </r>
  <r>
    <x v="0"/>
    <s v="堺市西区"/>
    <x v="30"/>
    <x v="2"/>
    <n v="251"/>
    <n v="10.49"/>
    <n v="80"/>
    <n v="6.83"/>
    <n v="171"/>
    <n v="14.04"/>
    <x v="0"/>
  </r>
  <r>
    <x v="0"/>
    <s v="堺市西区"/>
    <x v="30"/>
    <x v="3"/>
    <n v="2"/>
    <n v="0.08"/>
    <n v="0"/>
    <n v="0"/>
    <n v="2"/>
    <n v="0.16"/>
    <x v="0"/>
  </r>
  <r>
    <x v="0"/>
    <s v="堺市西区"/>
    <x v="30"/>
    <x v="4"/>
    <n v="12"/>
    <n v="0.5"/>
    <n v="0"/>
    <n v="0"/>
    <n v="12"/>
    <n v="0.99"/>
    <x v="0"/>
  </r>
  <r>
    <x v="0"/>
    <s v="堺市西区"/>
    <x v="30"/>
    <x v="5"/>
    <n v="50"/>
    <n v="2.09"/>
    <n v="17"/>
    <n v="1.45"/>
    <n v="32"/>
    <n v="2.63"/>
    <x v="0"/>
  </r>
  <r>
    <x v="0"/>
    <s v="堺市西区"/>
    <x v="30"/>
    <x v="6"/>
    <n v="501"/>
    <n v="20.94"/>
    <n v="263"/>
    <n v="22.44"/>
    <n v="238"/>
    <n v="19.54"/>
    <x v="0"/>
  </r>
  <r>
    <x v="0"/>
    <s v="堺市西区"/>
    <x v="30"/>
    <x v="7"/>
    <n v="15"/>
    <n v="0.63"/>
    <n v="0"/>
    <n v="0"/>
    <n v="15"/>
    <n v="1.23"/>
    <x v="0"/>
  </r>
  <r>
    <x v="0"/>
    <s v="堺市西区"/>
    <x v="30"/>
    <x v="8"/>
    <n v="262"/>
    <n v="10.95"/>
    <n v="68"/>
    <n v="5.8"/>
    <n v="194"/>
    <n v="15.93"/>
    <x v="0"/>
  </r>
  <r>
    <x v="0"/>
    <s v="堺市西区"/>
    <x v="30"/>
    <x v="9"/>
    <n v="88"/>
    <n v="3.68"/>
    <n v="34"/>
    <n v="2.9"/>
    <n v="54"/>
    <n v="4.43"/>
    <x v="0"/>
  </r>
  <r>
    <x v="0"/>
    <s v="堺市西区"/>
    <x v="30"/>
    <x v="10"/>
    <n v="272"/>
    <n v="11.37"/>
    <n v="230"/>
    <n v="19.62"/>
    <n v="42"/>
    <n v="3.45"/>
    <x v="0"/>
  </r>
  <r>
    <x v="0"/>
    <s v="堺市西区"/>
    <x v="30"/>
    <x v="11"/>
    <n v="288"/>
    <n v="12.04"/>
    <n v="238"/>
    <n v="20.309999999999999"/>
    <n v="50"/>
    <n v="4.1100000000000003"/>
    <x v="0"/>
  </r>
  <r>
    <x v="0"/>
    <s v="堺市西区"/>
    <x v="30"/>
    <x v="12"/>
    <n v="87"/>
    <n v="3.64"/>
    <n v="64"/>
    <n v="5.46"/>
    <n v="22"/>
    <n v="1.81"/>
    <x v="18"/>
  </r>
  <r>
    <x v="0"/>
    <s v="堺市西区"/>
    <x v="30"/>
    <x v="13"/>
    <n v="136"/>
    <n v="5.68"/>
    <n v="84"/>
    <n v="7.17"/>
    <n v="52"/>
    <n v="4.2699999999999996"/>
    <x v="0"/>
  </r>
  <r>
    <x v="0"/>
    <s v="堺市西区"/>
    <x v="30"/>
    <x v="14"/>
    <n v="79"/>
    <n v="3.3"/>
    <n v="28"/>
    <n v="2.39"/>
    <n v="50"/>
    <n v="4.1100000000000003"/>
    <x v="18"/>
  </r>
  <r>
    <x v="0"/>
    <s v="堺市南区"/>
    <x v="31"/>
    <x v="0"/>
    <n v="0"/>
    <n v="0"/>
    <n v="0"/>
    <n v="0"/>
    <n v="0"/>
    <n v="0"/>
    <x v="0"/>
  </r>
  <r>
    <x v="0"/>
    <s v="堺市南区"/>
    <x v="31"/>
    <x v="1"/>
    <n v="235"/>
    <n v="16.12"/>
    <n v="49"/>
    <n v="7.81"/>
    <n v="186"/>
    <n v="22.38"/>
    <x v="0"/>
  </r>
  <r>
    <x v="0"/>
    <s v="堺市南区"/>
    <x v="31"/>
    <x v="2"/>
    <n v="137"/>
    <n v="9.4"/>
    <n v="60"/>
    <n v="9.57"/>
    <n v="77"/>
    <n v="9.27"/>
    <x v="0"/>
  </r>
  <r>
    <x v="0"/>
    <s v="堺市南区"/>
    <x v="31"/>
    <x v="3"/>
    <n v="1"/>
    <n v="7.0000000000000007E-2"/>
    <n v="0"/>
    <n v="0"/>
    <n v="1"/>
    <n v="0.12"/>
    <x v="0"/>
  </r>
  <r>
    <x v="0"/>
    <s v="堺市南区"/>
    <x v="31"/>
    <x v="4"/>
    <n v="6"/>
    <n v="0.41"/>
    <n v="0"/>
    <n v="0"/>
    <n v="6"/>
    <n v="0.72"/>
    <x v="0"/>
  </r>
  <r>
    <x v="0"/>
    <s v="堺市南区"/>
    <x v="31"/>
    <x v="5"/>
    <n v="41"/>
    <n v="2.81"/>
    <n v="33"/>
    <n v="5.26"/>
    <n v="8"/>
    <n v="0.96"/>
    <x v="0"/>
  </r>
  <r>
    <x v="0"/>
    <s v="堺市南区"/>
    <x v="31"/>
    <x v="6"/>
    <n v="323"/>
    <n v="22.15"/>
    <n v="127"/>
    <n v="20.260000000000002"/>
    <n v="196"/>
    <n v="23.59"/>
    <x v="0"/>
  </r>
  <r>
    <x v="0"/>
    <s v="堺市南区"/>
    <x v="31"/>
    <x v="7"/>
    <n v="17"/>
    <n v="1.17"/>
    <n v="3"/>
    <n v="0.48"/>
    <n v="14"/>
    <n v="1.68"/>
    <x v="0"/>
  </r>
  <r>
    <x v="0"/>
    <s v="堺市南区"/>
    <x v="31"/>
    <x v="8"/>
    <n v="151"/>
    <n v="10.36"/>
    <n v="18"/>
    <n v="2.87"/>
    <n v="133"/>
    <n v="16"/>
    <x v="0"/>
  </r>
  <r>
    <x v="0"/>
    <s v="堺市南区"/>
    <x v="31"/>
    <x v="9"/>
    <n v="72"/>
    <n v="4.9400000000000004"/>
    <n v="26"/>
    <n v="4.1500000000000004"/>
    <n v="46"/>
    <n v="5.54"/>
    <x v="0"/>
  </r>
  <r>
    <x v="0"/>
    <s v="堺市南区"/>
    <x v="31"/>
    <x v="10"/>
    <n v="118"/>
    <n v="8.09"/>
    <n v="84"/>
    <n v="13.4"/>
    <n v="34"/>
    <n v="4.09"/>
    <x v="0"/>
  </r>
  <r>
    <x v="0"/>
    <s v="堺市南区"/>
    <x v="31"/>
    <x v="11"/>
    <n v="135"/>
    <n v="9.26"/>
    <n v="98"/>
    <n v="15.63"/>
    <n v="37"/>
    <n v="4.45"/>
    <x v="0"/>
  </r>
  <r>
    <x v="0"/>
    <s v="堺市南区"/>
    <x v="31"/>
    <x v="12"/>
    <n v="47"/>
    <n v="3.22"/>
    <n v="29"/>
    <n v="4.63"/>
    <n v="18"/>
    <n v="2.17"/>
    <x v="0"/>
  </r>
  <r>
    <x v="0"/>
    <s v="堺市南区"/>
    <x v="31"/>
    <x v="13"/>
    <n v="99"/>
    <n v="6.79"/>
    <n v="57"/>
    <n v="9.09"/>
    <n v="42"/>
    <n v="5.05"/>
    <x v="0"/>
  </r>
  <r>
    <x v="0"/>
    <s v="堺市南区"/>
    <x v="31"/>
    <x v="14"/>
    <n v="76"/>
    <n v="5.21"/>
    <n v="43"/>
    <n v="6.86"/>
    <n v="33"/>
    <n v="3.97"/>
    <x v="0"/>
  </r>
  <r>
    <x v="0"/>
    <s v="堺市北区"/>
    <x v="32"/>
    <x v="0"/>
    <n v="0"/>
    <n v="0"/>
    <n v="0"/>
    <n v="0"/>
    <n v="0"/>
    <n v="0"/>
    <x v="0"/>
  </r>
  <r>
    <x v="0"/>
    <s v="堺市北区"/>
    <x v="32"/>
    <x v="1"/>
    <n v="361"/>
    <n v="14.07"/>
    <n v="58"/>
    <n v="4.82"/>
    <n v="303"/>
    <n v="22.26"/>
    <x v="0"/>
  </r>
  <r>
    <x v="0"/>
    <s v="堺市北区"/>
    <x v="32"/>
    <x v="2"/>
    <n v="234"/>
    <n v="9.1199999999999992"/>
    <n v="84"/>
    <n v="6.98"/>
    <n v="150"/>
    <n v="11.02"/>
    <x v="0"/>
  </r>
  <r>
    <x v="0"/>
    <s v="堺市北区"/>
    <x v="32"/>
    <x v="3"/>
    <n v="0"/>
    <n v="0"/>
    <n v="0"/>
    <n v="0"/>
    <n v="0"/>
    <n v="0"/>
    <x v="0"/>
  </r>
  <r>
    <x v="0"/>
    <s v="堺市北区"/>
    <x v="32"/>
    <x v="4"/>
    <n v="24"/>
    <n v="0.94"/>
    <n v="2"/>
    <n v="0.17"/>
    <n v="22"/>
    <n v="1.62"/>
    <x v="0"/>
  </r>
  <r>
    <x v="0"/>
    <s v="堺市北区"/>
    <x v="32"/>
    <x v="5"/>
    <n v="14"/>
    <n v="0.55000000000000004"/>
    <n v="6"/>
    <n v="0.5"/>
    <n v="8"/>
    <n v="0.59"/>
    <x v="0"/>
  </r>
  <r>
    <x v="0"/>
    <s v="堺市北区"/>
    <x v="32"/>
    <x v="6"/>
    <n v="469"/>
    <n v="18.28"/>
    <n v="231"/>
    <n v="19.190000000000001"/>
    <n v="238"/>
    <n v="17.489999999999998"/>
    <x v="0"/>
  </r>
  <r>
    <x v="0"/>
    <s v="堺市北区"/>
    <x v="32"/>
    <x v="7"/>
    <n v="14"/>
    <n v="0.55000000000000004"/>
    <n v="4"/>
    <n v="0.33"/>
    <n v="10"/>
    <n v="0.73"/>
    <x v="0"/>
  </r>
  <r>
    <x v="0"/>
    <s v="堺市北区"/>
    <x v="32"/>
    <x v="8"/>
    <n v="359"/>
    <n v="13.99"/>
    <n v="42"/>
    <n v="3.49"/>
    <n v="317"/>
    <n v="23.29"/>
    <x v="0"/>
  </r>
  <r>
    <x v="0"/>
    <s v="堺市北区"/>
    <x v="32"/>
    <x v="9"/>
    <n v="119"/>
    <n v="4.6399999999999997"/>
    <n v="57"/>
    <n v="4.7300000000000004"/>
    <n v="62"/>
    <n v="4.5599999999999996"/>
    <x v="0"/>
  </r>
  <r>
    <x v="0"/>
    <s v="堺市北区"/>
    <x v="32"/>
    <x v="10"/>
    <n v="283"/>
    <n v="11.03"/>
    <n v="249"/>
    <n v="20.68"/>
    <n v="33"/>
    <n v="2.42"/>
    <x v="0"/>
  </r>
  <r>
    <x v="0"/>
    <s v="堺市北区"/>
    <x v="32"/>
    <x v="11"/>
    <n v="324"/>
    <n v="12.63"/>
    <n v="255"/>
    <n v="21.18"/>
    <n v="69"/>
    <n v="5.07"/>
    <x v="0"/>
  </r>
  <r>
    <x v="0"/>
    <s v="堺市北区"/>
    <x v="32"/>
    <x v="12"/>
    <n v="95"/>
    <n v="3.7"/>
    <n v="69"/>
    <n v="5.73"/>
    <n v="26"/>
    <n v="1.91"/>
    <x v="0"/>
  </r>
  <r>
    <x v="0"/>
    <s v="堺市北区"/>
    <x v="32"/>
    <x v="13"/>
    <n v="188"/>
    <n v="7.33"/>
    <n v="119"/>
    <n v="9.8800000000000008"/>
    <n v="69"/>
    <n v="5.07"/>
    <x v="0"/>
  </r>
  <r>
    <x v="0"/>
    <s v="堺市北区"/>
    <x v="32"/>
    <x v="14"/>
    <n v="82"/>
    <n v="3.2"/>
    <n v="28"/>
    <n v="2.33"/>
    <n v="54"/>
    <n v="3.97"/>
    <x v="0"/>
  </r>
  <r>
    <x v="0"/>
    <s v="堺市美原区"/>
    <x v="33"/>
    <x v="0"/>
    <n v="0"/>
    <n v="0"/>
    <n v="0"/>
    <n v="0"/>
    <n v="0"/>
    <n v="0"/>
    <x v="0"/>
  </r>
  <r>
    <x v="0"/>
    <s v="堺市美原区"/>
    <x v="33"/>
    <x v="1"/>
    <n v="179"/>
    <n v="17.899999999999999"/>
    <n v="34"/>
    <n v="9.19"/>
    <n v="145"/>
    <n v="23.2"/>
    <x v="0"/>
  </r>
  <r>
    <x v="0"/>
    <s v="堺市美原区"/>
    <x v="33"/>
    <x v="2"/>
    <n v="289"/>
    <n v="28.9"/>
    <n v="72"/>
    <n v="19.46"/>
    <n v="217"/>
    <n v="34.72"/>
    <x v="0"/>
  </r>
  <r>
    <x v="0"/>
    <s v="堺市美原区"/>
    <x v="33"/>
    <x v="3"/>
    <n v="1"/>
    <n v="0.1"/>
    <n v="0"/>
    <n v="0"/>
    <n v="1"/>
    <n v="0.16"/>
    <x v="0"/>
  </r>
  <r>
    <x v="0"/>
    <s v="堺市美原区"/>
    <x v="33"/>
    <x v="4"/>
    <n v="6"/>
    <n v="0.6"/>
    <n v="0"/>
    <n v="0"/>
    <n v="6"/>
    <n v="0.96"/>
    <x v="0"/>
  </r>
  <r>
    <x v="0"/>
    <s v="堺市美原区"/>
    <x v="33"/>
    <x v="5"/>
    <n v="17"/>
    <n v="1.7"/>
    <n v="3"/>
    <n v="0.81"/>
    <n v="14"/>
    <n v="2.2400000000000002"/>
    <x v="0"/>
  </r>
  <r>
    <x v="0"/>
    <s v="堺市美原区"/>
    <x v="33"/>
    <x v="6"/>
    <n v="137"/>
    <n v="13.7"/>
    <n v="56"/>
    <n v="15.14"/>
    <n v="81"/>
    <n v="12.96"/>
    <x v="0"/>
  </r>
  <r>
    <x v="0"/>
    <s v="堺市美原区"/>
    <x v="33"/>
    <x v="7"/>
    <n v="3"/>
    <n v="0.3"/>
    <n v="2"/>
    <n v="0.54"/>
    <n v="1"/>
    <n v="0.16"/>
    <x v="0"/>
  </r>
  <r>
    <x v="0"/>
    <s v="堺市美原区"/>
    <x v="33"/>
    <x v="8"/>
    <n v="179"/>
    <n v="17.899999999999999"/>
    <n v="92"/>
    <n v="24.86"/>
    <n v="87"/>
    <n v="13.92"/>
    <x v="0"/>
  </r>
  <r>
    <x v="0"/>
    <s v="堺市美原区"/>
    <x v="33"/>
    <x v="9"/>
    <n v="24"/>
    <n v="2.4"/>
    <n v="5"/>
    <n v="1.35"/>
    <n v="19"/>
    <n v="3.04"/>
    <x v="0"/>
  </r>
  <r>
    <x v="0"/>
    <s v="堺市美原区"/>
    <x v="33"/>
    <x v="10"/>
    <n v="47"/>
    <n v="4.7"/>
    <n v="36"/>
    <n v="9.73"/>
    <n v="11"/>
    <n v="1.76"/>
    <x v="0"/>
  </r>
  <r>
    <x v="0"/>
    <s v="堺市美原区"/>
    <x v="33"/>
    <x v="11"/>
    <n v="41"/>
    <n v="4.0999999999999996"/>
    <n v="32"/>
    <n v="8.65"/>
    <n v="8"/>
    <n v="1.28"/>
    <x v="18"/>
  </r>
  <r>
    <x v="0"/>
    <s v="堺市美原区"/>
    <x v="33"/>
    <x v="12"/>
    <n v="11"/>
    <n v="1.1000000000000001"/>
    <n v="10"/>
    <n v="2.7"/>
    <n v="1"/>
    <n v="0.16"/>
    <x v="0"/>
  </r>
  <r>
    <x v="0"/>
    <s v="堺市美原区"/>
    <x v="33"/>
    <x v="13"/>
    <n v="25"/>
    <n v="2.5"/>
    <n v="10"/>
    <n v="2.7"/>
    <n v="11"/>
    <n v="1.76"/>
    <x v="0"/>
  </r>
  <r>
    <x v="0"/>
    <s v="堺市美原区"/>
    <x v="33"/>
    <x v="14"/>
    <n v="41"/>
    <n v="4.0999999999999996"/>
    <n v="18"/>
    <n v="4.8600000000000003"/>
    <n v="23"/>
    <n v="3.68"/>
    <x v="0"/>
  </r>
  <r>
    <x v="0"/>
    <s v="岸和田市"/>
    <x v="34"/>
    <x v="0"/>
    <n v="0"/>
    <n v="0"/>
    <n v="0"/>
    <n v="0"/>
    <n v="0"/>
    <n v="0"/>
    <x v="0"/>
  </r>
  <r>
    <x v="0"/>
    <s v="岸和田市"/>
    <x v="34"/>
    <x v="1"/>
    <n v="572"/>
    <n v="13.42"/>
    <n v="125"/>
    <n v="5.47"/>
    <n v="447"/>
    <n v="23.22"/>
    <x v="0"/>
  </r>
  <r>
    <x v="0"/>
    <s v="岸和田市"/>
    <x v="34"/>
    <x v="2"/>
    <n v="487"/>
    <n v="11.43"/>
    <n v="206"/>
    <n v="9.02"/>
    <n v="281"/>
    <n v="14.6"/>
    <x v="0"/>
  </r>
  <r>
    <x v="0"/>
    <s v="岸和田市"/>
    <x v="34"/>
    <x v="3"/>
    <n v="2"/>
    <n v="0.05"/>
    <n v="0"/>
    <n v="0"/>
    <n v="2"/>
    <n v="0.1"/>
    <x v="0"/>
  </r>
  <r>
    <x v="0"/>
    <s v="岸和田市"/>
    <x v="34"/>
    <x v="4"/>
    <n v="26"/>
    <n v="0.61"/>
    <n v="3"/>
    <n v="0.13"/>
    <n v="23"/>
    <n v="1.19"/>
    <x v="0"/>
  </r>
  <r>
    <x v="0"/>
    <s v="岸和田市"/>
    <x v="34"/>
    <x v="5"/>
    <n v="52"/>
    <n v="1.22"/>
    <n v="5"/>
    <n v="0.22"/>
    <n v="47"/>
    <n v="2.44"/>
    <x v="0"/>
  </r>
  <r>
    <x v="0"/>
    <s v="岸和田市"/>
    <x v="34"/>
    <x v="6"/>
    <n v="880"/>
    <n v="20.65"/>
    <n v="502"/>
    <n v="21.98"/>
    <n v="378"/>
    <n v="19.64"/>
    <x v="0"/>
  </r>
  <r>
    <x v="0"/>
    <s v="岸和田市"/>
    <x v="34"/>
    <x v="7"/>
    <n v="28"/>
    <n v="0.66"/>
    <n v="8"/>
    <n v="0.35"/>
    <n v="20"/>
    <n v="1.04"/>
    <x v="0"/>
  </r>
  <r>
    <x v="0"/>
    <s v="岸和田市"/>
    <x v="34"/>
    <x v="8"/>
    <n v="479"/>
    <n v="11.24"/>
    <n v="129"/>
    <n v="5.65"/>
    <n v="350"/>
    <n v="18.18"/>
    <x v="0"/>
  </r>
  <r>
    <x v="0"/>
    <s v="岸和田市"/>
    <x v="34"/>
    <x v="9"/>
    <n v="171"/>
    <n v="4.01"/>
    <n v="111"/>
    <n v="4.8600000000000003"/>
    <n v="60"/>
    <n v="3.12"/>
    <x v="0"/>
  </r>
  <r>
    <x v="0"/>
    <s v="岸和田市"/>
    <x v="34"/>
    <x v="10"/>
    <n v="507"/>
    <n v="11.9"/>
    <n v="446"/>
    <n v="19.53"/>
    <n v="61"/>
    <n v="3.17"/>
    <x v="0"/>
  </r>
  <r>
    <x v="0"/>
    <s v="岸和田市"/>
    <x v="34"/>
    <x v="11"/>
    <n v="453"/>
    <n v="10.63"/>
    <n v="376"/>
    <n v="16.46"/>
    <n v="75"/>
    <n v="3.9"/>
    <x v="18"/>
  </r>
  <r>
    <x v="0"/>
    <s v="岸和田市"/>
    <x v="34"/>
    <x v="12"/>
    <n v="190"/>
    <n v="4.46"/>
    <n v="145"/>
    <n v="6.35"/>
    <n v="35"/>
    <n v="1.82"/>
    <x v="18"/>
  </r>
  <r>
    <x v="0"/>
    <s v="岸和田市"/>
    <x v="34"/>
    <x v="13"/>
    <n v="267"/>
    <n v="6.27"/>
    <n v="148"/>
    <n v="6.48"/>
    <n v="79"/>
    <n v="4.0999999999999996"/>
    <x v="0"/>
  </r>
  <r>
    <x v="0"/>
    <s v="岸和田市"/>
    <x v="34"/>
    <x v="14"/>
    <n v="147"/>
    <n v="3.45"/>
    <n v="80"/>
    <n v="3.5"/>
    <n v="67"/>
    <n v="3.48"/>
    <x v="0"/>
  </r>
  <r>
    <x v="0"/>
    <s v="豊中市"/>
    <x v="35"/>
    <x v="0"/>
    <n v="0"/>
    <n v="0"/>
    <n v="0"/>
    <n v="0"/>
    <n v="0"/>
    <n v="0"/>
    <x v="0"/>
  </r>
  <r>
    <x v="0"/>
    <s v="豊中市"/>
    <x v="35"/>
    <x v="1"/>
    <n v="793"/>
    <n v="9.9"/>
    <n v="157"/>
    <n v="4.33"/>
    <n v="636"/>
    <n v="14.68"/>
    <x v="0"/>
  </r>
  <r>
    <x v="0"/>
    <s v="豊中市"/>
    <x v="35"/>
    <x v="2"/>
    <n v="875"/>
    <n v="10.93"/>
    <n v="256"/>
    <n v="7.06"/>
    <n v="618"/>
    <n v="14.26"/>
    <x v="0"/>
  </r>
  <r>
    <x v="0"/>
    <s v="豊中市"/>
    <x v="35"/>
    <x v="3"/>
    <n v="3"/>
    <n v="0.04"/>
    <n v="1"/>
    <n v="0.03"/>
    <n v="2"/>
    <n v="0.05"/>
    <x v="0"/>
  </r>
  <r>
    <x v="0"/>
    <s v="豊中市"/>
    <x v="35"/>
    <x v="4"/>
    <n v="88"/>
    <n v="1.1000000000000001"/>
    <n v="6"/>
    <n v="0.17"/>
    <n v="82"/>
    <n v="1.89"/>
    <x v="0"/>
  </r>
  <r>
    <x v="0"/>
    <s v="豊中市"/>
    <x v="35"/>
    <x v="5"/>
    <n v="90"/>
    <n v="1.1200000000000001"/>
    <n v="51"/>
    <n v="1.41"/>
    <n v="39"/>
    <n v="0.9"/>
    <x v="0"/>
  </r>
  <r>
    <x v="0"/>
    <s v="豊中市"/>
    <x v="35"/>
    <x v="6"/>
    <n v="1469"/>
    <n v="18.350000000000001"/>
    <n v="662"/>
    <n v="18.260000000000002"/>
    <n v="807"/>
    <n v="18.62"/>
    <x v="0"/>
  </r>
  <r>
    <x v="0"/>
    <s v="豊中市"/>
    <x v="35"/>
    <x v="7"/>
    <n v="30"/>
    <n v="0.37"/>
    <n v="4"/>
    <n v="0.11"/>
    <n v="26"/>
    <n v="0.6"/>
    <x v="0"/>
  </r>
  <r>
    <x v="0"/>
    <s v="豊中市"/>
    <x v="35"/>
    <x v="8"/>
    <n v="1293"/>
    <n v="16.149999999999999"/>
    <n v="235"/>
    <n v="6.48"/>
    <n v="1058"/>
    <n v="24.42"/>
    <x v="0"/>
  </r>
  <r>
    <x v="0"/>
    <s v="豊中市"/>
    <x v="35"/>
    <x v="9"/>
    <n v="423"/>
    <n v="5.28"/>
    <n v="180"/>
    <n v="4.97"/>
    <n v="242"/>
    <n v="5.59"/>
    <x v="18"/>
  </r>
  <r>
    <x v="0"/>
    <s v="豊中市"/>
    <x v="35"/>
    <x v="10"/>
    <n v="948"/>
    <n v="11.84"/>
    <n v="810"/>
    <n v="22.34"/>
    <n v="138"/>
    <n v="3.18"/>
    <x v="0"/>
  </r>
  <r>
    <x v="0"/>
    <s v="豊中市"/>
    <x v="35"/>
    <x v="11"/>
    <n v="870"/>
    <n v="10.87"/>
    <n v="657"/>
    <n v="18.12"/>
    <n v="212"/>
    <n v="4.8899999999999997"/>
    <x v="18"/>
  </r>
  <r>
    <x v="0"/>
    <s v="豊中市"/>
    <x v="35"/>
    <x v="12"/>
    <n v="344"/>
    <n v="4.3"/>
    <n v="216"/>
    <n v="5.96"/>
    <n v="124"/>
    <n v="2.86"/>
    <x v="1"/>
  </r>
  <r>
    <x v="0"/>
    <s v="豊中市"/>
    <x v="35"/>
    <x v="13"/>
    <n v="507"/>
    <n v="6.33"/>
    <n v="310"/>
    <n v="8.5500000000000007"/>
    <n v="176"/>
    <n v="4.0599999999999996"/>
    <x v="0"/>
  </r>
  <r>
    <x v="0"/>
    <s v="豊中市"/>
    <x v="35"/>
    <x v="14"/>
    <n v="274"/>
    <n v="3.42"/>
    <n v="80"/>
    <n v="2.21"/>
    <n v="173"/>
    <n v="3.99"/>
    <x v="22"/>
  </r>
  <r>
    <x v="0"/>
    <s v="池田市"/>
    <x v="36"/>
    <x v="0"/>
    <n v="0"/>
    <n v="0"/>
    <n v="0"/>
    <n v="0"/>
    <n v="0"/>
    <n v="0"/>
    <x v="0"/>
  </r>
  <r>
    <x v="0"/>
    <s v="池田市"/>
    <x v="36"/>
    <x v="1"/>
    <n v="236"/>
    <n v="10.76"/>
    <n v="42"/>
    <n v="3.71"/>
    <n v="194"/>
    <n v="18.39"/>
    <x v="0"/>
  </r>
  <r>
    <x v="0"/>
    <s v="池田市"/>
    <x v="36"/>
    <x v="2"/>
    <n v="83"/>
    <n v="3.78"/>
    <n v="21"/>
    <n v="1.86"/>
    <n v="62"/>
    <n v="5.88"/>
    <x v="0"/>
  </r>
  <r>
    <x v="0"/>
    <s v="池田市"/>
    <x v="36"/>
    <x v="3"/>
    <n v="4"/>
    <n v="0.18"/>
    <n v="0"/>
    <n v="0"/>
    <n v="4"/>
    <n v="0.38"/>
    <x v="0"/>
  </r>
  <r>
    <x v="0"/>
    <s v="池田市"/>
    <x v="36"/>
    <x v="4"/>
    <n v="23"/>
    <n v="1.05"/>
    <n v="3"/>
    <n v="0.27"/>
    <n v="20"/>
    <n v="1.9"/>
    <x v="0"/>
  </r>
  <r>
    <x v="0"/>
    <s v="池田市"/>
    <x v="36"/>
    <x v="5"/>
    <n v="23"/>
    <n v="1.05"/>
    <n v="5"/>
    <n v="0.44"/>
    <n v="17"/>
    <n v="1.61"/>
    <x v="18"/>
  </r>
  <r>
    <x v="0"/>
    <s v="池田市"/>
    <x v="36"/>
    <x v="6"/>
    <n v="443"/>
    <n v="20.2"/>
    <n v="235"/>
    <n v="20.78"/>
    <n v="207"/>
    <n v="19.62"/>
    <x v="18"/>
  </r>
  <r>
    <x v="0"/>
    <s v="池田市"/>
    <x v="36"/>
    <x v="7"/>
    <n v="11"/>
    <n v="0.5"/>
    <n v="2"/>
    <n v="0.18"/>
    <n v="9"/>
    <n v="0.85"/>
    <x v="0"/>
  </r>
  <r>
    <x v="0"/>
    <s v="池田市"/>
    <x v="36"/>
    <x v="8"/>
    <n v="365"/>
    <n v="16.64"/>
    <n v="111"/>
    <n v="9.81"/>
    <n v="254"/>
    <n v="24.08"/>
    <x v="0"/>
  </r>
  <r>
    <x v="0"/>
    <s v="池田市"/>
    <x v="36"/>
    <x v="9"/>
    <n v="123"/>
    <n v="5.61"/>
    <n v="56"/>
    <n v="4.95"/>
    <n v="67"/>
    <n v="6.35"/>
    <x v="0"/>
  </r>
  <r>
    <x v="0"/>
    <s v="池田市"/>
    <x v="36"/>
    <x v="10"/>
    <n v="341"/>
    <n v="15.55"/>
    <n v="287"/>
    <n v="25.38"/>
    <n v="54"/>
    <n v="5.12"/>
    <x v="0"/>
  </r>
  <r>
    <x v="0"/>
    <s v="池田市"/>
    <x v="36"/>
    <x v="11"/>
    <n v="244"/>
    <n v="11.13"/>
    <n v="189"/>
    <n v="16.71"/>
    <n v="55"/>
    <n v="5.21"/>
    <x v="0"/>
  </r>
  <r>
    <x v="0"/>
    <s v="池田市"/>
    <x v="36"/>
    <x v="12"/>
    <n v="92"/>
    <n v="4.2"/>
    <n v="66"/>
    <n v="5.84"/>
    <n v="26"/>
    <n v="2.46"/>
    <x v="0"/>
  </r>
  <r>
    <x v="0"/>
    <s v="池田市"/>
    <x v="36"/>
    <x v="13"/>
    <n v="137"/>
    <n v="6.25"/>
    <n v="90"/>
    <n v="7.96"/>
    <n v="46"/>
    <n v="4.3600000000000003"/>
    <x v="0"/>
  </r>
  <r>
    <x v="0"/>
    <s v="池田市"/>
    <x v="36"/>
    <x v="14"/>
    <n v="68"/>
    <n v="3.1"/>
    <n v="24"/>
    <n v="2.12"/>
    <n v="40"/>
    <n v="3.79"/>
    <x v="12"/>
  </r>
  <r>
    <x v="0"/>
    <s v="吹田市"/>
    <x v="37"/>
    <x v="0"/>
    <n v="1"/>
    <n v="0.02"/>
    <n v="0"/>
    <n v="0"/>
    <n v="1"/>
    <n v="0.03"/>
    <x v="0"/>
  </r>
  <r>
    <x v="0"/>
    <s v="吹田市"/>
    <x v="37"/>
    <x v="1"/>
    <n v="616"/>
    <n v="10.09"/>
    <n v="69"/>
    <n v="3.04"/>
    <n v="547"/>
    <n v="14.57"/>
    <x v="0"/>
  </r>
  <r>
    <x v="0"/>
    <s v="吹田市"/>
    <x v="37"/>
    <x v="2"/>
    <n v="307"/>
    <n v="5.03"/>
    <n v="53"/>
    <n v="2.33"/>
    <n v="254"/>
    <n v="6.76"/>
    <x v="0"/>
  </r>
  <r>
    <x v="0"/>
    <s v="吹田市"/>
    <x v="37"/>
    <x v="3"/>
    <n v="6"/>
    <n v="0.1"/>
    <n v="0"/>
    <n v="0"/>
    <n v="4"/>
    <n v="0.11"/>
    <x v="0"/>
  </r>
  <r>
    <x v="0"/>
    <s v="吹田市"/>
    <x v="37"/>
    <x v="4"/>
    <n v="116"/>
    <n v="1.9"/>
    <n v="3"/>
    <n v="0.13"/>
    <n v="113"/>
    <n v="3.01"/>
    <x v="0"/>
  </r>
  <r>
    <x v="0"/>
    <s v="吹田市"/>
    <x v="37"/>
    <x v="5"/>
    <n v="49"/>
    <n v="0.8"/>
    <n v="20"/>
    <n v="0.88"/>
    <n v="29"/>
    <n v="0.77"/>
    <x v="0"/>
  </r>
  <r>
    <x v="0"/>
    <s v="吹田市"/>
    <x v="37"/>
    <x v="6"/>
    <n v="1325"/>
    <n v="21.71"/>
    <n v="454"/>
    <n v="19.97"/>
    <n v="871"/>
    <n v="23.2"/>
    <x v="0"/>
  </r>
  <r>
    <x v="0"/>
    <s v="吹田市"/>
    <x v="37"/>
    <x v="7"/>
    <n v="40"/>
    <n v="0.66"/>
    <n v="9"/>
    <n v="0.4"/>
    <n v="31"/>
    <n v="0.83"/>
    <x v="0"/>
  </r>
  <r>
    <x v="0"/>
    <s v="吹田市"/>
    <x v="37"/>
    <x v="8"/>
    <n v="1076"/>
    <n v="17.63"/>
    <n v="131"/>
    <n v="5.76"/>
    <n v="944"/>
    <n v="25.14"/>
    <x v="18"/>
  </r>
  <r>
    <x v="0"/>
    <s v="吹田市"/>
    <x v="37"/>
    <x v="9"/>
    <n v="436"/>
    <n v="7.14"/>
    <n v="175"/>
    <n v="7.7"/>
    <n v="260"/>
    <n v="6.92"/>
    <x v="18"/>
  </r>
  <r>
    <x v="0"/>
    <s v="吹田市"/>
    <x v="37"/>
    <x v="10"/>
    <n v="613"/>
    <n v="10.039999999999999"/>
    <n v="483"/>
    <n v="21.25"/>
    <n v="129"/>
    <n v="3.44"/>
    <x v="18"/>
  </r>
  <r>
    <x v="0"/>
    <s v="吹田市"/>
    <x v="37"/>
    <x v="11"/>
    <n v="641"/>
    <n v="10.5"/>
    <n v="439"/>
    <n v="19.309999999999999"/>
    <n v="201"/>
    <n v="5.35"/>
    <x v="18"/>
  </r>
  <r>
    <x v="0"/>
    <s v="吹田市"/>
    <x v="37"/>
    <x v="12"/>
    <n v="306"/>
    <n v="5.01"/>
    <n v="162"/>
    <n v="7.13"/>
    <n v="93"/>
    <n v="2.48"/>
    <x v="23"/>
  </r>
  <r>
    <x v="0"/>
    <s v="吹田市"/>
    <x v="37"/>
    <x v="13"/>
    <n v="384"/>
    <n v="6.29"/>
    <n v="239"/>
    <n v="10.51"/>
    <n v="135"/>
    <n v="3.6"/>
    <x v="12"/>
  </r>
  <r>
    <x v="0"/>
    <s v="吹田市"/>
    <x v="37"/>
    <x v="14"/>
    <n v="188"/>
    <n v="3.08"/>
    <n v="36"/>
    <n v="1.58"/>
    <n v="143"/>
    <n v="3.81"/>
    <x v="19"/>
  </r>
  <r>
    <x v="0"/>
    <s v="泉大津市"/>
    <x v="38"/>
    <x v="0"/>
    <n v="0"/>
    <n v="0"/>
    <n v="0"/>
    <n v="0"/>
    <n v="0"/>
    <n v="0"/>
    <x v="0"/>
  </r>
  <r>
    <x v="0"/>
    <s v="泉大津市"/>
    <x v="38"/>
    <x v="1"/>
    <n v="158"/>
    <n v="8.61"/>
    <n v="48"/>
    <n v="4.4400000000000004"/>
    <n v="110"/>
    <n v="14.67"/>
    <x v="0"/>
  </r>
  <r>
    <x v="0"/>
    <s v="泉大津市"/>
    <x v="38"/>
    <x v="2"/>
    <n v="216"/>
    <n v="11.77"/>
    <n v="103"/>
    <n v="9.5399999999999991"/>
    <n v="113"/>
    <n v="15.07"/>
    <x v="0"/>
  </r>
  <r>
    <x v="0"/>
    <s v="泉大津市"/>
    <x v="38"/>
    <x v="3"/>
    <n v="3"/>
    <n v="0.16"/>
    <n v="0"/>
    <n v="0"/>
    <n v="1"/>
    <n v="0.13"/>
    <x v="0"/>
  </r>
  <r>
    <x v="0"/>
    <s v="泉大津市"/>
    <x v="38"/>
    <x v="4"/>
    <n v="13"/>
    <n v="0.71"/>
    <n v="2"/>
    <n v="0.19"/>
    <n v="11"/>
    <n v="1.47"/>
    <x v="0"/>
  </r>
  <r>
    <x v="0"/>
    <s v="泉大津市"/>
    <x v="38"/>
    <x v="5"/>
    <n v="42"/>
    <n v="2.29"/>
    <n v="3"/>
    <n v="0.28000000000000003"/>
    <n v="39"/>
    <n v="5.2"/>
    <x v="0"/>
  </r>
  <r>
    <x v="0"/>
    <s v="泉大津市"/>
    <x v="38"/>
    <x v="6"/>
    <n v="342"/>
    <n v="18.64"/>
    <n v="191"/>
    <n v="17.690000000000001"/>
    <n v="151"/>
    <n v="20.13"/>
    <x v="0"/>
  </r>
  <r>
    <x v="0"/>
    <s v="泉大津市"/>
    <x v="38"/>
    <x v="7"/>
    <n v="9"/>
    <n v="0.49"/>
    <n v="3"/>
    <n v="0.28000000000000003"/>
    <n v="6"/>
    <n v="0.8"/>
    <x v="0"/>
  </r>
  <r>
    <x v="0"/>
    <s v="泉大津市"/>
    <x v="38"/>
    <x v="8"/>
    <n v="347"/>
    <n v="18.91"/>
    <n v="171"/>
    <n v="15.83"/>
    <n v="175"/>
    <n v="23.33"/>
    <x v="18"/>
  </r>
  <r>
    <x v="0"/>
    <s v="泉大津市"/>
    <x v="38"/>
    <x v="9"/>
    <n v="60"/>
    <n v="3.27"/>
    <n v="39"/>
    <n v="3.61"/>
    <n v="21"/>
    <n v="2.8"/>
    <x v="0"/>
  </r>
  <r>
    <x v="0"/>
    <s v="泉大津市"/>
    <x v="38"/>
    <x v="10"/>
    <n v="258"/>
    <n v="14.06"/>
    <n v="236"/>
    <n v="21.85"/>
    <n v="22"/>
    <n v="2.93"/>
    <x v="0"/>
  </r>
  <r>
    <x v="0"/>
    <s v="泉大津市"/>
    <x v="38"/>
    <x v="11"/>
    <n v="166"/>
    <n v="9.0500000000000007"/>
    <n v="133"/>
    <n v="12.31"/>
    <n v="33"/>
    <n v="4.4000000000000004"/>
    <x v="0"/>
  </r>
  <r>
    <x v="0"/>
    <s v="泉大津市"/>
    <x v="38"/>
    <x v="12"/>
    <n v="71"/>
    <n v="3.87"/>
    <n v="55"/>
    <n v="5.09"/>
    <n v="16"/>
    <n v="2.13"/>
    <x v="0"/>
  </r>
  <r>
    <x v="0"/>
    <s v="泉大津市"/>
    <x v="38"/>
    <x v="13"/>
    <n v="86"/>
    <n v="4.6900000000000004"/>
    <n v="62"/>
    <n v="5.74"/>
    <n v="24"/>
    <n v="3.2"/>
    <x v="0"/>
  </r>
  <r>
    <x v="0"/>
    <s v="泉大津市"/>
    <x v="38"/>
    <x v="14"/>
    <n v="64"/>
    <n v="3.49"/>
    <n v="34"/>
    <n v="3.15"/>
    <n v="28"/>
    <n v="3.73"/>
    <x v="0"/>
  </r>
  <r>
    <x v="0"/>
    <s v="高槻市"/>
    <x v="39"/>
    <x v="0"/>
    <n v="0"/>
    <n v="0"/>
    <n v="0"/>
    <n v="0"/>
    <n v="0"/>
    <n v="0"/>
    <x v="0"/>
  </r>
  <r>
    <x v="0"/>
    <s v="高槻市"/>
    <x v="39"/>
    <x v="1"/>
    <n v="664"/>
    <n v="12.62"/>
    <n v="112"/>
    <n v="4.43"/>
    <n v="552"/>
    <n v="20.49"/>
    <x v="0"/>
  </r>
  <r>
    <x v="0"/>
    <s v="高槻市"/>
    <x v="39"/>
    <x v="2"/>
    <n v="243"/>
    <n v="4.62"/>
    <n v="61"/>
    <n v="2.41"/>
    <n v="182"/>
    <n v="6.76"/>
    <x v="0"/>
  </r>
  <r>
    <x v="0"/>
    <s v="高槻市"/>
    <x v="39"/>
    <x v="3"/>
    <n v="5"/>
    <n v="0.1"/>
    <n v="0"/>
    <n v="0"/>
    <n v="5"/>
    <n v="0.19"/>
    <x v="0"/>
  </r>
  <r>
    <x v="0"/>
    <s v="高槻市"/>
    <x v="39"/>
    <x v="4"/>
    <n v="49"/>
    <n v="0.93"/>
    <n v="2"/>
    <n v="0.08"/>
    <n v="47"/>
    <n v="1.74"/>
    <x v="0"/>
  </r>
  <r>
    <x v="0"/>
    <s v="高槻市"/>
    <x v="39"/>
    <x v="5"/>
    <n v="67"/>
    <n v="1.27"/>
    <n v="16"/>
    <n v="0.63"/>
    <n v="51"/>
    <n v="1.89"/>
    <x v="0"/>
  </r>
  <r>
    <x v="0"/>
    <s v="高槻市"/>
    <x v="39"/>
    <x v="6"/>
    <n v="1064"/>
    <n v="20.23"/>
    <n v="503"/>
    <n v="19.88"/>
    <n v="561"/>
    <n v="20.82"/>
    <x v="0"/>
  </r>
  <r>
    <x v="0"/>
    <s v="高槻市"/>
    <x v="39"/>
    <x v="7"/>
    <n v="33"/>
    <n v="0.63"/>
    <n v="3"/>
    <n v="0.12"/>
    <n v="30"/>
    <n v="1.1100000000000001"/>
    <x v="0"/>
  </r>
  <r>
    <x v="0"/>
    <s v="高槻市"/>
    <x v="39"/>
    <x v="8"/>
    <n v="685"/>
    <n v="13.02"/>
    <n v="155"/>
    <n v="6.13"/>
    <n v="529"/>
    <n v="19.64"/>
    <x v="18"/>
  </r>
  <r>
    <x v="0"/>
    <s v="高槻市"/>
    <x v="39"/>
    <x v="9"/>
    <n v="295"/>
    <n v="5.61"/>
    <n v="136"/>
    <n v="5.38"/>
    <n v="158"/>
    <n v="5.86"/>
    <x v="0"/>
  </r>
  <r>
    <x v="0"/>
    <s v="高槻市"/>
    <x v="39"/>
    <x v="10"/>
    <n v="633"/>
    <n v="12.03"/>
    <n v="528"/>
    <n v="20.87"/>
    <n v="102"/>
    <n v="3.79"/>
    <x v="12"/>
  </r>
  <r>
    <x v="0"/>
    <s v="高槻市"/>
    <x v="39"/>
    <x v="11"/>
    <n v="761"/>
    <n v="14.47"/>
    <n v="587"/>
    <n v="23.2"/>
    <n v="172"/>
    <n v="6.38"/>
    <x v="18"/>
  </r>
  <r>
    <x v="0"/>
    <s v="高槻市"/>
    <x v="39"/>
    <x v="12"/>
    <n v="250"/>
    <n v="4.75"/>
    <n v="165"/>
    <n v="6.52"/>
    <n v="70"/>
    <n v="2.6"/>
    <x v="18"/>
  </r>
  <r>
    <x v="0"/>
    <s v="高槻市"/>
    <x v="39"/>
    <x v="13"/>
    <n v="366"/>
    <n v="6.96"/>
    <n v="220"/>
    <n v="8.6999999999999993"/>
    <n v="135"/>
    <n v="5.01"/>
    <x v="12"/>
  </r>
  <r>
    <x v="0"/>
    <s v="高槻市"/>
    <x v="39"/>
    <x v="14"/>
    <n v="145"/>
    <n v="2.76"/>
    <n v="42"/>
    <n v="1.66"/>
    <n v="100"/>
    <n v="3.71"/>
    <x v="18"/>
  </r>
  <r>
    <x v="0"/>
    <s v="貝塚市"/>
    <x v="40"/>
    <x v="0"/>
    <n v="0"/>
    <n v="0"/>
    <n v="0"/>
    <n v="0"/>
    <n v="0"/>
    <n v="0"/>
    <x v="0"/>
  </r>
  <r>
    <x v="0"/>
    <s v="貝塚市"/>
    <x v="40"/>
    <x v="1"/>
    <n v="258"/>
    <n v="13.24"/>
    <n v="80"/>
    <n v="7.02"/>
    <n v="178"/>
    <n v="22.22"/>
    <x v="0"/>
  </r>
  <r>
    <x v="0"/>
    <s v="貝塚市"/>
    <x v="40"/>
    <x v="2"/>
    <n v="264"/>
    <n v="13.55"/>
    <n v="121"/>
    <n v="10.61"/>
    <n v="142"/>
    <n v="17.73"/>
    <x v="18"/>
  </r>
  <r>
    <x v="0"/>
    <s v="貝塚市"/>
    <x v="40"/>
    <x v="3"/>
    <n v="2"/>
    <n v="0.1"/>
    <n v="1"/>
    <n v="0.09"/>
    <n v="1"/>
    <n v="0.12"/>
    <x v="0"/>
  </r>
  <r>
    <x v="0"/>
    <s v="貝塚市"/>
    <x v="40"/>
    <x v="4"/>
    <n v="17"/>
    <n v="0.87"/>
    <n v="1"/>
    <n v="0.09"/>
    <n v="16"/>
    <n v="2"/>
    <x v="0"/>
  </r>
  <r>
    <x v="0"/>
    <s v="貝塚市"/>
    <x v="40"/>
    <x v="5"/>
    <n v="24"/>
    <n v="1.23"/>
    <n v="1"/>
    <n v="0.09"/>
    <n v="23"/>
    <n v="2.87"/>
    <x v="0"/>
  </r>
  <r>
    <x v="0"/>
    <s v="貝塚市"/>
    <x v="40"/>
    <x v="6"/>
    <n v="407"/>
    <n v="20.88"/>
    <n v="236"/>
    <n v="20.7"/>
    <n v="171"/>
    <n v="21.35"/>
    <x v="0"/>
  </r>
  <r>
    <x v="0"/>
    <s v="貝塚市"/>
    <x v="40"/>
    <x v="7"/>
    <n v="12"/>
    <n v="0.62"/>
    <n v="2"/>
    <n v="0.18"/>
    <n v="10"/>
    <n v="1.25"/>
    <x v="0"/>
  </r>
  <r>
    <x v="0"/>
    <s v="貝塚市"/>
    <x v="40"/>
    <x v="8"/>
    <n v="260"/>
    <n v="13.34"/>
    <n v="140"/>
    <n v="12.28"/>
    <n v="119"/>
    <n v="14.86"/>
    <x v="0"/>
  </r>
  <r>
    <x v="0"/>
    <s v="貝塚市"/>
    <x v="40"/>
    <x v="9"/>
    <n v="62"/>
    <n v="3.18"/>
    <n v="34"/>
    <n v="2.98"/>
    <n v="28"/>
    <n v="3.5"/>
    <x v="0"/>
  </r>
  <r>
    <x v="0"/>
    <s v="貝塚市"/>
    <x v="40"/>
    <x v="10"/>
    <n v="195"/>
    <n v="10.01"/>
    <n v="176"/>
    <n v="15.44"/>
    <n v="19"/>
    <n v="2.37"/>
    <x v="0"/>
  </r>
  <r>
    <x v="0"/>
    <s v="貝塚市"/>
    <x v="40"/>
    <x v="11"/>
    <n v="211"/>
    <n v="10.83"/>
    <n v="168"/>
    <n v="14.74"/>
    <n v="41"/>
    <n v="5.12"/>
    <x v="18"/>
  </r>
  <r>
    <x v="0"/>
    <s v="貝塚市"/>
    <x v="40"/>
    <x v="12"/>
    <n v="91"/>
    <n v="4.67"/>
    <n v="80"/>
    <n v="7.02"/>
    <n v="10"/>
    <n v="1.25"/>
    <x v="0"/>
  </r>
  <r>
    <x v="0"/>
    <s v="貝塚市"/>
    <x v="40"/>
    <x v="13"/>
    <n v="89"/>
    <n v="4.57"/>
    <n v="55"/>
    <n v="4.82"/>
    <n v="31"/>
    <n v="3.87"/>
    <x v="0"/>
  </r>
  <r>
    <x v="0"/>
    <s v="貝塚市"/>
    <x v="40"/>
    <x v="14"/>
    <n v="57"/>
    <n v="2.92"/>
    <n v="45"/>
    <n v="3.95"/>
    <n v="12"/>
    <n v="1.5"/>
    <x v="0"/>
  </r>
  <r>
    <x v="0"/>
    <s v="守口市"/>
    <x v="41"/>
    <x v="0"/>
    <n v="0"/>
    <n v="0"/>
    <n v="0"/>
    <n v="0"/>
    <n v="0"/>
    <n v="0"/>
    <x v="0"/>
  </r>
  <r>
    <x v="0"/>
    <s v="守口市"/>
    <x v="41"/>
    <x v="1"/>
    <n v="492"/>
    <n v="13.25"/>
    <n v="103"/>
    <n v="5.35"/>
    <n v="389"/>
    <n v="21.84"/>
    <x v="0"/>
  </r>
  <r>
    <x v="0"/>
    <s v="守口市"/>
    <x v="41"/>
    <x v="2"/>
    <n v="652"/>
    <n v="17.559999999999999"/>
    <n v="284"/>
    <n v="14.76"/>
    <n v="368"/>
    <n v="20.66"/>
    <x v="0"/>
  </r>
  <r>
    <x v="0"/>
    <s v="守口市"/>
    <x v="41"/>
    <x v="3"/>
    <n v="2"/>
    <n v="0.05"/>
    <n v="0"/>
    <n v="0"/>
    <n v="2"/>
    <n v="0.11"/>
    <x v="0"/>
  </r>
  <r>
    <x v="0"/>
    <s v="守口市"/>
    <x v="41"/>
    <x v="4"/>
    <n v="23"/>
    <n v="0.62"/>
    <n v="2"/>
    <n v="0.1"/>
    <n v="21"/>
    <n v="1.18"/>
    <x v="0"/>
  </r>
  <r>
    <x v="0"/>
    <s v="守口市"/>
    <x v="41"/>
    <x v="5"/>
    <n v="31"/>
    <n v="0.84"/>
    <n v="5"/>
    <n v="0.26"/>
    <n v="26"/>
    <n v="1.46"/>
    <x v="0"/>
  </r>
  <r>
    <x v="0"/>
    <s v="守口市"/>
    <x v="41"/>
    <x v="6"/>
    <n v="724"/>
    <n v="19.5"/>
    <n v="384"/>
    <n v="19.96"/>
    <n v="340"/>
    <n v="19.09"/>
    <x v="0"/>
  </r>
  <r>
    <x v="0"/>
    <s v="守口市"/>
    <x v="41"/>
    <x v="7"/>
    <n v="22"/>
    <n v="0.59"/>
    <n v="5"/>
    <n v="0.26"/>
    <n v="17"/>
    <n v="0.95"/>
    <x v="0"/>
  </r>
  <r>
    <x v="0"/>
    <s v="守口市"/>
    <x v="41"/>
    <x v="8"/>
    <n v="405"/>
    <n v="10.91"/>
    <n v="117"/>
    <n v="6.08"/>
    <n v="288"/>
    <n v="16.170000000000002"/>
    <x v="0"/>
  </r>
  <r>
    <x v="0"/>
    <s v="守口市"/>
    <x v="41"/>
    <x v="9"/>
    <n v="135"/>
    <n v="3.64"/>
    <n v="63"/>
    <n v="3.27"/>
    <n v="72"/>
    <n v="4.04"/>
    <x v="0"/>
  </r>
  <r>
    <x v="0"/>
    <s v="守口市"/>
    <x v="41"/>
    <x v="10"/>
    <n v="476"/>
    <n v="12.82"/>
    <n v="426"/>
    <n v="22.14"/>
    <n v="50"/>
    <n v="2.81"/>
    <x v="0"/>
  </r>
  <r>
    <x v="0"/>
    <s v="守口市"/>
    <x v="41"/>
    <x v="11"/>
    <n v="388"/>
    <n v="10.45"/>
    <n v="317"/>
    <n v="16.48"/>
    <n v="71"/>
    <n v="3.99"/>
    <x v="0"/>
  </r>
  <r>
    <x v="0"/>
    <s v="守口市"/>
    <x v="41"/>
    <x v="12"/>
    <n v="88"/>
    <n v="2.37"/>
    <n v="62"/>
    <n v="3.22"/>
    <n v="20"/>
    <n v="1.1200000000000001"/>
    <x v="13"/>
  </r>
  <r>
    <x v="0"/>
    <s v="守口市"/>
    <x v="41"/>
    <x v="13"/>
    <n v="168"/>
    <n v="4.53"/>
    <n v="115"/>
    <n v="5.98"/>
    <n v="53"/>
    <n v="2.98"/>
    <x v="0"/>
  </r>
  <r>
    <x v="0"/>
    <s v="守口市"/>
    <x v="41"/>
    <x v="14"/>
    <n v="106"/>
    <n v="2.86"/>
    <n v="41"/>
    <n v="2.13"/>
    <n v="64"/>
    <n v="3.59"/>
    <x v="18"/>
  </r>
  <r>
    <x v="0"/>
    <s v="枚方市"/>
    <x v="42"/>
    <x v="0"/>
    <n v="0"/>
    <n v="0"/>
    <n v="0"/>
    <n v="0"/>
    <n v="0"/>
    <n v="0"/>
    <x v="0"/>
  </r>
  <r>
    <x v="0"/>
    <s v="枚方市"/>
    <x v="42"/>
    <x v="1"/>
    <n v="720"/>
    <n v="13.59"/>
    <n v="135"/>
    <n v="5.12"/>
    <n v="585"/>
    <n v="22.18"/>
    <x v="0"/>
  </r>
  <r>
    <x v="0"/>
    <s v="枚方市"/>
    <x v="42"/>
    <x v="2"/>
    <n v="253"/>
    <n v="4.7699999999999996"/>
    <n v="61"/>
    <n v="2.31"/>
    <n v="192"/>
    <n v="7.28"/>
    <x v="0"/>
  </r>
  <r>
    <x v="0"/>
    <s v="枚方市"/>
    <x v="42"/>
    <x v="3"/>
    <n v="2"/>
    <n v="0.04"/>
    <n v="0"/>
    <n v="0"/>
    <n v="2"/>
    <n v="0.08"/>
    <x v="0"/>
  </r>
  <r>
    <x v="0"/>
    <s v="枚方市"/>
    <x v="42"/>
    <x v="4"/>
    <n v="54"/>
    <n v="1.02"/>
    <n v="6"/>
    <n v="0.23"/>
    <n v="48"/>
    <n v="1.82"/>
    <x v="0"/>
  </r>
  <r>
    <x v="0"/>
    <s v="枚方市"/>
    <x v="42"/>
    <x v="5"/>
    <n v="37"/>
    <n v="0.7"/>
    <n v="3"/>
    <n v="0.11"/>
    <n v="34"/>
    <n v="1.29"/>
    <x v="0"/>
  </r>
  <r>
    <x v="0"/>
    <s v="枚方市"/>
    <x v="42"/>
    <x v="6"/>
    <n v="1083"/>
    <n v="20.440000000000001"/>
    <n v="532"/>
    <n v="20.18"/>
    <n v="550"/>
    <n v="20.86"/>
    <x v="18"/>
  </r>
  <r>
    <x v="0"/>
    <s v="枚方市"/>
    <x v="42"/>
    <x v="7"/>
    <n v="33"/>
    <n v="0.62"/>
    <n v="8"/>
    <n v="0.3"/>
    <n v="25"/>
    <n v="0.95"/>
    <x v="0"/>
  </r>
  <r>
    <x v="0"/>
    <s v="枚方市"/>
    <x v="42"/>
    <x v="8"/>
    <n v="625"/>
    <n v="11.79"/>
    <n v="161"/>
    <n v="6.11"/>
    <n v="463"/>
    <n v="17.559999999999999"/>
    <x v="18"/>
  </r>
  <r>
    <x v="0"/>
    <s v="枚方市"/>
    <x v="42"/>
    <x v="9"/>
    <n v="327"/>
    <n v="6.17"/>
    <n v="157"/>
    <n v="5.96"/>
    <n v="167"/>
    <n v="6.33"/>
    <x v="18"/>
  </r>
  <r>
    <x v="0"/>
    <s v="枚方市"/>
    <x v="42"/>
    <x v="10"/>
    <n v="611"/>
    <n v="11.53"/>
    <n v="506"/>
    <n v="19.2"/>
    <n v="103"/>
    <n v="3.91"/>
    <x v="0"/>
  </r>
  <r>
    <x v="0"/>
    <s v="枚方市"/>
    <x v="42"/>
    <x v="11"/>
    <n v="735"/>
    <n v="13.87"/>
    <n v="587"/>
    <n v="22.27"/>
    <n v="148"/>
    <n v="5.61"/>
    <x v="0"/>
  </r>
  <r>
    <x v="0"/>
    <s v="枚方市"/>
    <x v="42"/>
    <x v="12"/>
    <n v="274"/>
    <n v="5.17"/>
    <n v="198"/>
    <n v="7.51"/>
    <n v="69"/>
    <n v="2.62"/>
    <x v="18"/>
  </r>
  <r>
    <x v="0"/>
    <s v="枚方市"/>
    <x v="42"/>
    <x v="13"/>
    <n v="389"/>
    <n v="7.34"/>
    <n v="238"/>
    <n v="9.0299999999999994"/>
    <n v="142"/>
    <n v="5.38"/>
    <x v="18"/>
  </r>
  <r>
    <x v="0"/>
    <s v="枚方市"/>
    <x v="42"/>
    <x v="14"/>
    <n v="156"/>
    <n v="2.94"/>
    <n v="44"/>
    <n v="1.67"/>
    <n v="109"/>
    <n v="4.13"/>
    <x v="1"/>
  </r>
  <r>
    <x v="0"/>
    <s v="茨木市"/>
    <x v="43"/>
    <x v="0"/>
    <n v="2"/>
    <n v="0.04"/>
    <n v="0"/>
    <n v="0"/>
    <n v="2"/>
    <n v="0.08"/>
    <x v="0"/>
  </r>
  <r>
    <x v="0"/>
    <s v="茨木市"/>
    <x v="43"/>
    <x v="1"/>
    <n v="539"/>
    <n v="11.07"/>
    <n v="81"/>
    <n v="3.66"/>
    <n v="458"/>
    <n v="17.489999999999998"/>
    <x v="0"/>
  </r>
  <r>
    <x v="0"/>
    <s v="茨木市"/>
    <x v="43"/>
    <x v="2"/>
    <n v="238"/>
    <n v="4.8899999999999997"/>
    <n v="40"/>
    <n v="1.81"/>
    <n v="198"/>
    <n v="7.56"/>
    <x v="0"/>
  </r>
  <r>
    <x v="0"/>
    <s v="茨木市"/>
    <x v="43"/>
    <x v="3"/>
    <n v="5"/>
    <n v="0.1"/>
    <n v="0"/>
    <n v="0"/>
    <n v="5"/>
    <n v="0.19"/>
    <x v="0"/>
  </r>
  <r>
    <x v="0"/>
    <s v="茨木市"/>
    <x v="43"/>
    <x v="4"/>
    <n v="43"/>
    <n v="0.88"/>
    <n v="1"/>
    <n v="0.05"/>
    <n v="42"/>
    <n v="1.6"/>
    <x v="0"/>
  </r>
  <r>
    <x v="0"/>
    <s v="茨木市"/>
    <x v="43"/>
    <x v="5"/>
    <n v="80"/>
    <n v="1.64"/>
    <n v="9"/>
    <n v="0.41"/>
    <n v="71"/>
    <n v="2.71"/>
    <x v="0"/>
  </r>
  <r>
    <x v="0"/>
    <s v="茨木市"/>
    <x v="43"/>
    <x v="6"/>
    <n v="952"/>
    <n v="19.559999999999999"/>
    <n v="378"/>
    <n v="17.100000000000001"/>
    <n v="573"/>
    <n v="21.88"/>
    <x v="18"/>
  </r>
  <r>
    <x v="0"/>
    <s v="茨木市"/>
    <x v="43"/>
    <x v="7"/>
    <n v="23"/>
    <n v="0.47"/>
    <n v="2"/>
    <n v="0.09"/>
    <n v="21"/>
    <n v="0.8"/>
    <x v="0"/>
  </r>
  <r>
    <x v="0"/>
    <s v="茨木市"/>
    <x v="43"/>
    <x v="8"/>
    <n v="994"/>
    <n v="20.420000000000002"/>
    <n v="333"/>
    <n v="15.06"/>
    <n v="659"/>
    <n v="25.16"/>
    <x v="12"/>
  </r>
  <r>
    <x v="0"/>
    <s v="茨木市"/>
    <x v="43"/>
    <x v="9"/>
    <n v="230"/>
    <n v="4.72"/>
    <n v="110"/>
    <n v="4.9800000000000004"/>
    <n v="120"/>
    <n v="4.58"/>
    <x v="0"/>
  </r>
  <r>
    <x v="0"/>
    <s v="茨木市"/>
    <x v="43"/>
    <x v="10"/>
    <n v="554"/>
    <n v="11.38"/>
    <n v="468"/>
    <n v="21.17"/>
    <n v="86"/>
    <n v="3.28"/>
    <x v="0"/>
  </r>
  <r>
    <x v="0"/>
    <s v="茨木市"/>
    <x v="43"/>
    <x v="11"/>
    <n v="539"/>
    <n v="11.07"/>
    <n v="414"/>
    <n v="18.72"/>
    <n v="122"/>
    <n v="4.66"/>
    <x v="0"/>
  </r>
  <r>
    <x v="0"/>
    <s v="茨木市"/>
    <x v="43"/>
    <x v="12"/>
    <n v="222"/>
    <n v="4.5599999999999996"/>
    <n v="152"/>
    <n v="6.87"/>
    <n v="61"/>
    <n v="2.33"/>
    <x v="0"/>
  </r>
  <r>
    <x v="0"/>
    <s v="茨木市"/>
    <x v="43"/>
    <x v="13"/>
    <n v="293"/>
    <n v="6.02"/>
    <n v="188"/>
    <n v="8.5"/>
    <n v="98"/>
    <n v="3.74"/>
    <x v="12"/>
  </r>
  <r>
    <x v="0"/>
    <s v="茨木市"/>
    <x v="43"/>
    <x v="14"/>
    <n v="154"/>
    <n v="3.16"/>
    <n v="35"/>
    <n v="1.58"/>
    <n v="103"/>
    <n v="3.93"/>
    <x v="14"/>
  </r>
  <r>
    <x v="0"/>
    <s v="八尾市"/>
    <x v="44"/>
    <x v="0"/>
    <n v="0"/>
    <n v="0"/>
    <n v="0"/>
    <n v="0"/>
    <n v="0"/>
    <n v="0"/>
    <x v="0"/>
  </r>
  <r>
    <x v="0"/>
    <s v="八尾市"/>
    <x v="44"/>
    <x v="1"/>
    <n v="639"/>
    <n v="9.58"/>
    <n v="183"/>
    <n v="5.43"/>
    <n v="456"/>
    <n v="13.87"/>
    <x v="0"/>
  </r>
  <r>
    <x v="0"/>
    <s v="八尾市"/>
    <x v="44"/>
    <x v="2"/>
    <n v="1902"/>
    <n v="28.51"/>
    <n v="806"/>
    <n v="23.9"/>
    <n v="1096"/>
    <n v="33.340000000000003"/>
    <x v="0"/>
  </r>
  <r>
    <x v="0"/>
    <s v="八尾市"/>
    <x v="44"/>
    <x v="3"/>
    <n v="3"/>
    <n v="0.04"/>
    <n v="0"/>
    <n v="0"/>
    <n v="3"/>
    <n v="0.09"/>
    <x v="0"/>
  </r>
  <r>
    <x v="0"/>
    <s v="八尾市"/>
    <x v="44"/>
    <x v="4"/>
    <n v="34"/>
    <n v="0.51"/>
    <n v="1"/>
    <n v="0.03"/>
    <n v="33"/>
    <n v="1"/>
    <x v="0"/>
  </r>
  <r>
    <x v="0"/>
    <s v="八尾市"/>
    <x v="44"/>
    <x v="5"/>
    <n v="73"/>
    <n v="1.0900000000000001"/>
    <n v="34"/>
    <n v="1.01"/>
    <n v="39"/>
    <n v="1.19"/>
    <x v="0"/>
  </r>
  <r>
    <x v="0"/>
    <s v="八尾市"/>
    <x v="44"/>
    <x v="6"/>
    <n v="1133"/>
    <n v="16.98"/>
    <n v="586"/>
    <n v="17.37"/>
    <n v="543"/>
    <n v="16.52"/>
    <x v="2"/>
  </r>
  <r>
    <x v="0"/>
    <s v="八尾市"/>
    <x v="44"/>
    <x v="7"/>
    <n v="25"/>
    <n v="0.37"/>
    <n v="5"/>
    <n v="0.15"/>
    <n v="20"/>
    <n v="0.61"/>
    <x v="0"/>
  </r>
  <r>
    <x v="0"/>
    <s v="八尾市"/>
    <x v="44"/>
    <x v="8"/>
    <n v="748"/>
    <n v="11.21"/>
    <n v="167"/>
    <n v="4.95"/>
    <n v="579"/>
    <n v="17.61"/>
    <x v="0"/>
  </r>
  <r>
    <x v="0"/>
    <s v="八尾市"/>
    <x v="44"/>
    <x v="9"/>
    <n v="183"/>
    <n v="2.74"/>
    <n v="110"/>
    <n v="3.26"/>
    <n v="73"/>
    <n v="2.2200000000000002"/>
    <x v="0"/>
  </r>
  <r>
    <x v="0"/>
    <s v="八尾市"/>
    <x v="44"/>
    <x v="10"/>
    <n v="635"/>
    <n v="9.52"/>
    <n v="571"/>
    <n v="16.93"/>
    <n v="64"/>
    <n v="1.95"/>
    <x v="0"/>
  </r>
  <r>
    <x v="0"/>
    <s v="八尾市"/>
    <x v="44"/>
    <x v="11"/>
    <n v="570"/>
    <n v="8.5399999999999991"/>
    <n v="450"/>
    <n v="13.34"/>
    <n v="120"/>
    <n v="3.65"/>
    <x v="0"/>
  </r>
  <r>
    <x v="0"/>
    <s v="八尾市"/>
    <x v="44"/>
    <x v="12"/>
    <n v="191"/>
    <n v="2.86"/>
    <n v="158"/>
    <n v="4.68"/>
    <n v="32"/>
    <n v="0.97"/>
    <x v="0"/>
  </r>
  <r>
    <x v="0"/>
    <s v="八尾市"/>
    <x v="44"/>
    <x v="13"/>
    <n v="325"/>
    <n v="4.87"/>
    <n v="206"/>
    <n v="6.11"/>
    <n v="118"/>
    <n v="3.59"/>
    <x v="0"/>
  </r>
  <r>
    <x v="0"/>
    <s v="八尾市"/>
    <x v="44"/>
    <x v="14"/>
    <n v="210"/>
    <n v="3.15"/>
    <n v="96"/>
    <n v="2.85"/>
    <n v="111"/>
    <n v="3.38"/>
    <x v="12"/>
  </r>
  <r>
    <x v="0"/>
    <s v="泉佐野市"/>
    <x v="45"/>
    <x v="0"/>
    <n v="0"/>
    <n v="0"/>
    <n v="0"/>
    <n v="0"/>
    <n v="0"/>
    <n v="0"/>
    <x v="0"/>
  </r>
  <r>
    <x v="0"/>
    <s v="泉佐野市"/>
    <x v="45"/>
    <x v="1"/>
    <n v="257"/>
    <n v="9.93"/>
    <n v="75"/>
    <n v="5.68"/>
    <n v="182"/>
    <n v="14.48"/>
    <x v="0"/>
  </r>
  <r>
    <x v="0"/>
    <s v="泉佐野市"/>
    <x v="45"/>
    <x v="2"/>
    <n v="358"/>
    <n v="13.83"/>
    <n v="170"/>
    <n v="12.87"/>
    <n v="188"/>
    <n v="14.96"/>
    <x v="0"/>
  </r>
  <r>
    <x v="0"/>
    <s v="泉佐野市"/>
    <x v="45"/>
    <x v="3"/>
    <n v="2"/>
    <n v="0.08"/>
    <n v="0"/>
    <n v="0"/>
    <n v="2"/>
    <n v="0.16"/>
    <x v="0"/>
  </r>
  <r>
    <x v="0"/>
    <s v="泉佐野市"/>
    <x v="45"/>
    <x v="4"/>
    <n v="24"/>
    <n v="0.93"/>
    <n v="0"/>
    <n v="0"/>
    <n v="24"/>
    <n v="1.91"/>
    <x v="0"/>
  </r>
  <r>
    <x v="0"/>
    <s v="泉佐野市"/>
    <x v="45"/>
    <x v="5"/>
    <n v="78"/>
    <n v="3.01"/>
    <n v="2"/>
    <n v="0.15"/>
    <n v="75"/>
    <n v="5.97"/>
    <x v="18"/>
  </r>
  <r>
    <x v="0"/>
    <s v="泉佐野市"/>
    <x v="45"/>
    <x v="6"/>
    <n v="631"/>
    <n v="24.38"/>
    <n v="314"/>
    <n v="23.77"/>
    <n v="317"/>
    <n v="25.22"/>
    <x v="0"/>
  </r>
  <r>
    <x v="0"/>
    <s v="泉佐野市"/>
    <x v="45"/>
    <x v="7"/>
    <n v="14"/>
    <n v="0.54"/>
    <n v="5"/>
    <n v="0.38"/>
    <n v="9"/>
    <n v="0.72"/>
    <x v="0"/>
  </r>
  <r>
    <x v="0"/>
    <s v="泉佐野市"/>
    <x v="45"/>
    <x v="8"/>
    <n v="219"/>
    <n v="8.4600000000000009"/>
    <n v="50"/>
    <n v="3.79"/>
    <n v="168"/>
    <n v="13.37"/>
    <x v="18"/>
  </r>
  <r>
    <x v="0"/>
    <s v="泉佐野市"/>
    <x v="45"/>
    <x v="9"/>
    <n v="98"/>
    <n v="3.79"/>
    <n v="63"/>
    <n v="4.7699999999999996"/>
    <n v="35"/>
    <n v="2.78"/>
    <x v="0"/>
  </r>
  <r>
    <x v="0"/>
    <s v="泉佐野市"/>
    <x v="45"/>
    <x v="10"/>
    <n v="289"/>
    <n v="11.17"/>
    <n v="247"/>
    <n v="18.7"/>
    <n v="41"/>
    <n v="3.26"/>
    <x v="0"/>
  </r>
  <r>
    <x v="0"/>
    <s v="泉佐野市"/>
    <x v="45"/>
    <x v="11"/>
    <n v="292"/>
    <n v="11.28"/>
    <n v="219"/>
    <n v="16.579999999999998"/>
    <n v="73"/>
    <n v="5.81"/>
    <x v="0"/>
  </r>
  <r>
    <x v="0"/>
    <s v="泉佐野市"/>
    <x v="45"/>
    <x v="12"/>
    <n v="80"/>
    <n v="3.09"/>
    <n v="52"/>
    <n v="3.94"/>
    <n v="27"/>
    <n v="2.15"/>
    <x v="0"/>
  </r>
  <r>
    <x v="0"/>
    <s v="泉佐野市"/>
    <x v="45"/>
    <x v="13"/>
    <n v="137"/>
    <n v="5.29"/>
    <n v="79"/>
    <n v="5.98"/>
    <n v="55"/>
    <n v="4.38"/>
    <x v="0"/>
  </r>
  <r>
    <x v="0"/>
    <s v="泉佐野市"/>
    <x v="45"/>
    <x v="14"/>
    <n v="109"/>
    <n v="4.21"/>
    <n v="45"/>
    <n v="3.41"/>
    <n v="61"/>
    <n v="4.8499999999999996"/>
    <x v="18"/>
  </r>
  <r>
    <x v="0"/>
    <s v="富田林市"/>
    <x v="46"/>
    <x v="0"/>
    <n v="0"/>
    <n v="0"/>
    <n v="0"/>
    <n v="0"/>
    <n v="0"/>
    <n v="0"/>
    <x v="0"/>
  </r>
  <r>
    <x v="0"/>
    <s v="富田林市"/>
    <x v="46"/>
    <x v="1"/>
    <n v="224"/>
    <n v="11.21"/>
    <n v="63"/>
    <n v="5.86"/>
    <n v="161"/>
    <n v="17.649999999999999"/>
    <x v="0"/>
  </r>
  <r>
    <x v="0"/>
    <s v="富田林市"/>
    <x v="46"/>
    <x v="2"/>
    <n v="259"/>
    <n v="12.96"/>
    <n v="86"/>
    <n v="8"/>
    <n v="173"/>
    <n v="18.97"/>
    <x v="0"/>
  </r>
  <r>
    <x v="0"/>
    <s v="富田林市"/>
    <x v="46"/>
    <x v="3"/>
    <n v="1"/>
    <n v="0.05"/>
    <n v="0"/>
    <n v="0"/>
    <n v="1"/>
    <n v="0.11"/>
    <x v="0"/>
  </r>
  <r>
    <x v="0"/>
    <s v="富田林市"/>
    <x v="46"/>
    <x v="4"/>
    <n v="15"/>
    <n v="0.75"/>
    <n v="0"/>
    <n v="0"/>
    <n v="14"/>
    <n v="1.54"/>
    <x v="18"/>
  </r>
  <r>
    <x v="0"/>
    <s v="富田林市"/>
    <x v="46"/>
    <x v="5"/>
    <n v="22"/>
    <n v="1.1000000000000001"/>
    <n v="3"/>
    <n v="0.28000000000000003"/>
    <n v="19"/>
    <n v="2.08"/>
    <x v="0"/>
  </r>
  <r>
    <x v="0"/>
    <s v="富田林市"/>
    <x v="46"/>
    <x v="6"/>
    <n v="406"/>
    <n v="20.309999999999999"/>
    <n v="216"/>
    <n v="20.09"/>
    <n v="189"/>
    <n v="20.72"/>
    <x v="18"/>
  </r>
  <r>
    <x v="0"/>
    <s v="富田林市"/>
    <x v="46"/>
    <x v="7"/>
    <n v="7"/>
    <n v="0.35"/>
    <n v="1"/>
    <n v="0.09"/>
    <n v="6"/>
    <n v="0.66"/>
    <x v="0"/>
  </r>
  <r>
    <x v="0"/>
    <s v="富田林市"/>
    <x v="46"/>
    <x v="8"/>
    <n v="380"/>
    <n v="19.010000000000002"/>
    <n v="213"/>
    <n v="19.809999999999999"/>
    <n v="166"/>
    <n v="18.2"/>
    <x v="18"/>
  </r>
  <r>
    <x v="0"/>
    <s v="富田林市"/>
    <x v="46"/>
    <x v="9"/>
    <n v="75"/>
    <n v="3.75"/>
    <n v="36"/>
    <n v="3.35"/>
    <n v="39"/>
    <n v="4.28"/>
    <x v="0"/>
  </r>
  <r>
    <x v="0"/>
    <s v="富田林市"/>
    <x v="46"/>
    <x v="10"/>
    <n v="158"/>
    <n v="7.9"/>
    <n v="141"/>
    <n v="13.12"/>
    <n v="17"/>
    <n v="1.86"/>
    <x v="0"/>
  </r>
  <r>
    <x v="0"/>
    <s v="富田林市"/>
    <x v="46"/>
    <x v="11"/>
    <n v="199"/>
    <n v="9.9499999999999993"/>
    <n v="159"/>
    <n v="14.79"/>
    <n v="38"/>
    <n v="4.17"/>
    <x v="0"/>
  </r>
  <r>
    <x v="0"/>
    <s v="富田林市"/>
    <x v="46"/>
    <x v="12"/>
    <n v="90"/>
    <n v="4.5"/>
    <n v="73"/>
    <n v="6.79"/>
    <n v="14"/>
    <n v="1.54"/>
    <x v="0"/>
  </r>
  <r>
    <x v="0"/>
    <s v="富田林市"/>
    <x v="46"/>
    <x v="13"/>
    <n v="108"/>
    <n v="5.4"/>
    <n v="63"/>
    <n v="5.86"/>
    <n v="41"/>
    <n v="4.5"/>
    <x v="12"/>
  </r>
  <r>
    <x v="0"/>
    <s v="富田林市"/>
    <x v="46"/>
    <x v="14"/>
    <n v="55"/>
    <n v="2.75"/>
    <n v="21"/>
    <n v="1.95"/>
    <n v="34"/>
    <n v="3.73"/>
    <x v="0"/>
  </r>
  <r>
    <x v="0"/>
    <s v="寝屋川市"/>
    <x v="47"/>
    <x v="0"/>
    <n v="0"/>
    <n v="0"/>
    <n v="0"/>
    <n v="0"/>
    <n v="0"/>
    <n v="0"/>
    <x v="0"/>
  </r>
  <r>
    <x v="0"/>
    <s v="寝屋川市"/>
    <x v="47"/>
    <x v="1"/>
    <n v="564"/>
    <n v="13.58"/>
    <n v="134"/>
    <n v="6.07"/>
    <n v="430"/>
    <n v="22.28"/>
    <x v="0"/>
  </r>
  <r>
    <x v="0"/>
    <s v="寝屋川市"/>
    <x v="47"/>
    <x v="2"/>
    <n v="353"/>
    <n v="8.5"/>
    <n v="110"/>
    <n v="4.9800000000000004"/>
    <n v="243"/>
    <n v="12.59"/>
    <x v="0"/>
  </r>
  <r>
    <x v="0"/>
    <s v="寝屋川市"/>
    <x v="47"/>
    <x v="3"/>
    <n v="2"/>
    <n v="0.05"/>
    <n v="0"/>
    <n v="0"/>
    <n v="2"/>
    <n v="0.1"/>
    <x v="0"/>
  </r>
  <r>
    <x v="0"/>
    <s v="寝屋川市"/>
    <x v="47"/>
    <x v="4"/>
    <n v="35"/>
    <n v="0.84"/>
    <n v="3"/>
    <n v="0.14000000000000001"/>
    <n v="32"/>
    <n v="1.66"/>
    <x v="0"/>
  </r>
  <r>
    <x v="0"/>
    <s v="寝屋川市"/>
    <x v="47"/>
    <x v="5"/>
    <n v="38"/>
    <n v="0.91"/>
    <n v="3"/>
    <n v="0.14000000000000001"/>
    <n v="35"/>
    <n v="1.81"/>
    <x v="0"/>
  </r>
  <r>
    <x v="0"/>
    <s v="寝屋川市"/>
    <x v="47"/>
    <x v="6"/>
    <n v="802"/>
    <n v="19.309999999999999"/>
    <n v="441"/>
    <n v="19.96"/>
    <n v="361"/>
    <n v="18.7"/>
    <x v="0"/>
  </r>
  <r>
    <x v="0"/>
    <s v="寝屋川市"/>
    <x v="47"/>
    <x v="7"/>
    <n v="15"/>
    <n v="0.36"/>
    <n v="3"/>
    <n v="0.14000000000000001"/>
    <n v="12"/>
    <n v="0.62"/>
    <x v="0"/>
  </r>
  <r>
    <x v="0"/>
    <s v="寝屋川市"/>
    <x v="47"/>
    <x v="8"/>
    <n v="549"/>
    <n v="13.22"/>
    <n v="185"/>
    <n v="8.3699999999999992"/>
    <n v="364"/>
    <n v="18.86"/>
    <x v="0"/>
  </r>
  <r>
    <x v="0"/>
    <s v="寝屋川市"/>
    <x v="47"/>
    <x v="9"/>
    <n v="157"/>
    <n v="3.78"/>
    <n v="83"/>
    <n v="3.76"/>
    <n v="74"/>
    <n v="3.83"/>
    <x v="0"/>
  </r>
  <r>
    <x v="0"/>
    <s v="寝屋川市"/>
    <x v="47"/>
    <x v="10"/>
    <n v="591"/>
    <n v="14.23"/>
    <n v="518"/>
    <n v="23.45"/>
    <n v="72"/>
    <n v="3.73"/>
    <x v="0"/>
  </r>
  <r>
    <x v="0"/>
    <s v="寝屋川市"/>
    <x v="47"/>
    <x v="11"/>
    <n v="536"/>
    <n v="12.9"/>
    <n v="443"/>
    <n v="20.05"/>
    <n v="91"/>
    <n v="4.72"/>
    <x v="12"/>
  </r>
  <r>
    <x v="0"/>
    <s v="寝屋川市"/>
    <x v="47"/>
    <x v="12"/>
    <n v="138"/>
    <n v="3.32"/>
    <n v="101"/>
    <n v="4.57"/>
    <n v="35"/>
    <n v="1.81"/>
    <x v="18"/>
  </r>
  <r>
    <x v="0"/>
    <s v="寝屋川市"/>
    <x v="47"/>
    <x v="13"/>
    <n v="256"/>
    <n v="6.16"/>
    <n v="141"/>
    <n v="6.38"/>
    <n v="109"/>
    <n v="5.65"/>
    <x v="18"/>
  </r>
  <r>
    <x v="0"/>
    <s v="寝屋川市"/>
    <x v="47"/>
    <x v="14"/>
    <n v="118"/>
    <n v="2.84"/>
    <n v="44"/>
    <n v="1.99"/>
    <n v="70"/>
    <n v="3.63"/>
    <x v="1"/>
  </r>
  <r>
    <x v="0"/>
    <s v="河内長野市"/>
    <x v="48"/>
    <x v="0"/>
    <n v="0"/>
    <n v="0"/>
    <n v="0"/>
    <n v="0"/>
    <n v="0"/>
    <n v="0"/>
    <x v="0"/>
  </r>
  <r>
    <x v="0"/>
    <s v="河内長野市"/>
    <x v="48"/>
    <x v="1"/>
    <n v="185"/>
    <n v="11.34"/>
    <n v="47"/>
    <n v="5.19"/>
    <n v="138"/>
    <n v="19.38"/>
    <x v="0"/>
  </r>
  <r>
    <x v="0"/>
    <s v="河内長野市"/>
    <x v="48"/>
    <x v="2"/>
    <n v="147"/>
    <n v="9.01"/>
    <n v="69"/>
    <n v="7.62"/>
    <n v="78"/>
    <n v="10.96"/>
    <x v="0"/>
  </r>
  <r>
    <x v="0"/>
    <s v="河内長野市"/>
    <x v="48"/>
    <x v="3"/>
    <n v="2"/>
    <n v="0.12"/>
    <n v="0"/>
    <n v="0"/>
    <n v="2"/>
    <n v="0.28000000000000003"/>
    <x v="0"/>
  </r>
  <r>
    <x v="0"/>
    <s v="河内長野市"/>
    <x v="48"/>
    <x v="4"/>
    <n v="20"/>
    <n v="1.23"/>
    <n v="2"/>
    <n v="0.22"/>
    <n v="18"/>
    <n v="2.5299999999999998"/>
    <x v="0"/>
  </r>
  <r>
    <x v="0"/>
    <s v="河内長野市"/>
    <x v="48"/>
    <x v="5"/>
    <n v="7"/>
    <n v="0.43"/>
    <n v="2"/>
    <n v="0.22"/>
    <n v="4"/>
    <n v="0.56000000000000005"/>
    <x v="18"/>
  </r>
  <r>
    <x v="0"/>
    <s v="河内長野市"/>
    <x v="48"/>
    <x v="6"/>
    <n v="374"/>
    <n v="22.93"/>
    <n v="218"/>
    <n v="24.09"/>
    <n v="155"/>
    <n v="21.77"/>
    <x v="18"/>
  </r>
  <r>
    <x v="0"/>
    <s v="河内長野市"/>
    <x v="48"/>
    <x v="7"/>
    <n v="4"/>
    <n v="0.25"/>
    <n v="1"/>
    <n v="0.11"/>
    <n v="3"/>
    <n v="0.42"/>
    <x v="0"/>
  </r>
  <r>
    <x v="0"/>
    <s v="河内長野市"/>
    <x v="48"/>
    <x v="8"/>
    <n v="215"/>
    <n v="13.18"/>
    <n v="92"/>
    <n v="10.17"/>
    <n v="123"/>
    <n v="17.28"/>
    <x v="0"/>
  </r>
  <r>
    <x v="0"/>
    <s v="河内長野市"/>
    <x v="48"/>
    <x v="9"/>
    <n v="88"/>
    <n v="5.4"/>
    <n v="41"/>
    <n v="4.53"/>
    <n v="47"/>
    <n v="6.6"/>
    <x v="0"/>
  </r>
  <r>
    <x v="0"/>
    <s v="河内長野市"/>
    <x v="48"/>
    <x v="10"/>
    <n v="143"/>
    <n v="8.77"/>
    <n v="126"/>
    <n v="13.92"/>
    <n v="17"/>
    <n v="2.39"/>
    <x v="0"/>
  </r>
  <r>
    <x v="0"/>
    <s v="河内長野市"/>
    <x v="48"/>
    <x v="11"/>
    <n v="205"/>
    <n v="12.57"/>
    <n v="161"/>
    <n v="17.79"/>
    <n v="44"/>
    <n v="6.18"/>
    <x v="0"/>
  </r>
  <r>
    <x v="0"/>
    <s v="河内長野市"/>
    <x v="48"/>
    <x v="12"/>
    <n v="95"/>
    <n v="5.82"/>
    <n v="70"/>
    <n v="7.73"/>
    <n v="16"/>
    <n v="2.25"/>
    <x v="0"/>
  </r>
  <r>
    <x v="0"/>
    <s v="河内長野市"/>
    <x v="48"/>
    <x v="13"/>
    <n v="97"/>
    <n v="5.95"/>
    <n v="58"/>
    <n v="6.41"/>
    <n v="38"/>
    <n v="5.34"/>
    <x v="0"/>
  </r>
  <r>
    <x v="0"/>
    <s v="河内長野市"/>
    <x v="48"/>
    <x v="14"/>
    <n v="49"/>
    <n v="3"/>
    <n v="18"/>
    <n v="1.99"/>
    <n v="29"/>
    <n v="4.07"/>
    <x v="18"/>
  </r>
  <r>
    <x v="0"/>
    <s v="松原市"/>
    <x v="49"/>
    <x v="0"/>
    <n v="0"/>
    <n v="0"/>
    <n v="0"/>
    <n v="0"/>
    <n v="0"/>
    <n v="0"/>
    <x v="0"/>
  </r>
  <r>
    <x v="0"/>
    <s v="松原市"/>
    <x v="49"/>
    <x v="1"/>
    <n v="378"/>
    <n v="13.51"/>
    <n v="92"/>
    <n v="6.26"/>
    <n v="286"/>
    <n v="21.88"/>
    <x v="0"/>
  </r>
  <r>
    <x v="0"/>
    <s v="松原市"/>
    <x v="49"/>
    <x v="2"/>
    <n v="485"/>
    <n v="17.34"/>
    <n v="187"/>
    <n v="12.73"/>
    <n v="298"/>
    <n v="22.8"/>
    <x v="0"/>
  </r>
  <r>
    <x v="0"/>
    <s v="松原市"/>
    <x v="49"/>
    <x v="3"/>
    <n v="3"/>
    <n v="0.11"/>
    <n v="0"/>
    <n v="0"/>
    <n v="3"/>
    <n v="0.23"/>
    <x v="0"/>
  </r>
  <r>
    <x v="0"/>
    <s v="松原市"/>
    <x v="49"/>
    <x v="4"/>
    <n v="9"/>
    <n v="0.32"/>
    <n v="2"/>
    <n v="0.14000000000000001"/>
    <n v="7"/>
    <n v="0.54"/>
    <x v="0"/>
  </r>
  <r>
    <x v="0"/>
    <s v="松原市"/>
    <x v="49"/>
    <x v="5"/>
    <n v="16"/>
    <n v="0.56999999999999995"/>
    <n v="3"/>
    <n v="0.2"/>
    <n v="13"/>
    <n v="0.99"/>
    <x v="0"/>
  </r>
  <r>
    <x v="0"/>
    <s v="松原市"/>
    <x v="49"/>
    <x v="6"/>
    <n v="545"/>
    <n v="19.489999999999998"/>
    <n v="314"/>
    <n v="21.38"/>
    <n v="230"/>
    <n v="17.600000000000001"/>
    <x v="18"/>
  </r>
  <r>
    <x v="0"/>
    <s v="松原市"/>
    <x v="49"/>
    <x v="7"/>
    <n v="11"/>
    <n v="0.39"/>
    <n v="2"/>
    <n v="0.14000000000000001"/>
    <n v="9"/>
    <n v="0.69"/>
    <x v="0"/>
  </r>
  <r>
    <x v="0"/>
    <s v="松原市"/>
    <x v="49"/>
    <x v="8"/>
    <n v="388"/>
    <n v="13.87"/>
    <n v="143"/>
    <n v="9.73"/>
    <n v="245"/>
    <n v="18.75"/>
    <x v="0"/>
  </r>
  <r>
    <x v="0"/>
    <s v="松原市"/>
    <x v="49"/>
    <x v="9"/>
    <n v="81"/>
    <n v="2.9"/>
    <n v="42"/>
    <n v="2.86"/>
    <n v="38"/>
    <n v="2.91"/>
    <x v="0"/>
  </r>
  <r>
    <x v="0"/>
    <s v="松原市"/>
    <x v="49"/>
    <x v="10"/>
    <n v="297"/>
    <n v="10.62"/>
    <n v="267"/>
    <n v="18.18"/>
    <n v="30"/>
    <n v="2.2999999999999998"/>
    <x v="0"/>
  </r>
  <r>
    <x v="0"/>
    <s v="松原市"/>
    <x v="49"/>
    <x v="11"/>
    <n v="262"/>
    <n v="9.3699999999999992"/>
    <n v="228"/>
    <n v="15.52"/>
    <n v="34"/>
    <n v="2.6"/>
    <x v="0"/>
  </r>
  <r>
    <x v="0"/>
    <s v="松原市"/>
    <x v="49"/>
    <x v="12"/>
    <n v="82"/>
    <n v="2.93"/>
    <n v="54"/>
    <n v="3.68"/>
    <n v="23"/>
    <n v="1.76"/>
    <x v="0"/>
  </r>
  <r>
    <x v="0"/>
    <s v="松原市"/>
    <x v="49"/>
    <x v="13"/>
    <n v="150"/>
    <n v="5.36"/>
    <n v="85"/>
    <n v="5.79"/>
    <n v="52"/>
    <n v="3.98"/>
    <x v="0"/>
  </r>
  <r>
    <x v="0"/>
    <s v="松原市"/>
    <x v="49"/>
    <x v="14"/>
    <n v="90"/>
    <n v="3.22"/>
    <n v="50"/>
    <n v="3.4"/>
    <n v="39"/>
    <n v="2.98"/>
    <x v="0"/>
  </r>
  <r>
    <x v="0"/>
    <s v="大東市"/>
    <x v="50"/>
    <x v="0"/>
    <n v="0"/>
    <n v="0"/>
    <n v="0"/>
    <n v="0"/>
    <n v="0"/>
    <n v="0"/>
    <x v="0"/>
  </r>
  <r>
    <x v="0"/>
    <s v="大東市"/>
    <x v="50"/>
    <x v="1"/>
    <n v="307"/>
    <n v="12.39"/>
    <n v="70"/>
    <n v="5.92"/>
    <n v="237"/>
    <n v="18.37"/>
    <x v="0"/>
  </r>
  <r>
    <x v="0"/>
    <s v="大東市"/>
    <x v="50"/>
    <x v="2"/>
    <n v="462"/>
    <n v="18.649999999999999"/>
    <n v="131"/>
    <n v="11.07"/>
    <n v="331"/>
    <n v="25.66"/>
    <x v="0"/>
  </r>
  <r>
    <x v="0"/>
    <s v="大東市"/>
    <x v="50"/>
    <x v="3"/>
    <n v="0"/>
    <n v="0"/>
    <n v="0"/>
    <n v="0"/>
    <n v="0"/>
    <n v="0"/>
    <x v="0"/>
  </r>
  <r>
    <x v="0"/>
    <s v="大東市"/>
    <x v="50"/>
    <x v="4"/>
    <n v="8"/>
    <n v="0.32"/>
    <n v="1"/>
    <n v="0.08"/>
    <n v="7"/>
    <n v="0.54"/>
    <x v="0"/>
  </r>
  <r>
    <x v="0"/>
    <s v="大東市"/>
    <x v="50"/>
    <x v="5"/>
    <n v="26"/>
    <n v="1.05"/>
    <n v="3"/>
    <n v="0.25"/>
    <n v="23"/>
    <n v="1.78"/>
    <x v="0"/>
  </r>
  <r>
    <x v="0"/>
    <s v="大東市"/>
    <x v="50"/>
    <x v="6"/>
    <n v="432"/>
    <n v="17.440000000000001"/>
    <n v="208"/>
    <n v="17.579999999999998"/>
    <n v="224"/>
    <n v="17.36"/>
    <x v="0"/>
  </r>
  <r>
    <x v="0"/>
    <s v="大東市"/>
    <x v="50"/>
    <x v="7"/>
    <n v="9"/>
    <n v="0.36"/>
    <n v="1"/>
    <n v="0.08"/>
    <n v="8"/>
    <n v="0.62"/>
    <x v="0"/>
  </r>
  <r>
    <x v="0"/>
    <s v="大東市"/>
    <x v="50"/>
    <x v="8"/>
    <n v="478"/>
    <n v="19.3"/>
    <n v="231"/>
    <n v="19.53"/>
    <n v="247"/>
    <n v="19.149999999999999"/>
    <x v="0"/>
  </r>
  <r>
    <x v="0"/>
    <s v="大東市"/>
    <x v="50"/>
    <x v="9"/>
    <n v="60"/>
    <n v="2.42"/>
    <n v="26"/>
    <n v="2.2000000000000002"/>
    <n v="33"/>
    <n v="2.56"/>
    <x v="0"/>
  </r>
  <r>
    <x v="0"/>
    <s v="大東市"/>
    <x v="50"/>
    <x v="10"/>
    <n v="244"/>
    <n v="9.85"/>
    <n v="217"/>
    <n v="18.34"/>
    <n v="27"/>
    <n v="2.09"/>
    <x v="0"/>
  </r>
  <r>
    <x v="0"/>
    <s v="大東市"/>
    <x v="50"/>
    <x v="11"/>
    <n v="230"/>
    <n v="9.2899999999999991"/>
    <n v="173"/>
    <n v="14.62"/>
    <n v="56"/>
    <n v="4.34"/>
    <x v="18"/>
  </r>
  <r>
    <x v="0"/>
    <s v="大東市"/>
    <x v="50"/>
    <x v="12"/>
    <n v="50"/>
    <n v="2.02"/>
    <n v="30"/>
    <n v="2.54"/>
    <n v="20"/>
    <n v="1.55"/>
    <x v="0"/>
  </r>
  <r>
    <x v="0"/>
    <s v="大東市"/>
    <x v="50"/>
    <x v="13"/>
    <n v="106"/>
    <n v="4.28"/>
    <n v="63"/>
    <n v="5.33"/>
    <n v="41"/>
    <n v="3.18"/>
    <x v="0"/>
  </r>
  <r>
    <x v="0"/>
    <s v="大東市"/>
    <x v="50"/>
    <x v="14"/>
    <n v="65"/>
    <n v="2.62"/>
    <n v="29"/>
    <n v="2.4500000000000002"/>
    <n v="36"/>
    <n v="2.79"/>
    <x v="0"/>
  </r>
  <r>
    <x v="0"/>
    <s v="和泉市"/>
    <x v="51"/>
    <x v="0"/>
    <n v="0"/>
    <n v="0"/>
    <n v="0"/>
    <n v="0"/>
    <n v="0"/>
    <n v="0"/>
    <x v="0"/>
  </r>
  <r>
    <x v="0"/>
    <s v="和泉市"/>
    <x v="51"/>
    <x v="1"/>
    <n v="442"/>
    <n v="12.94"/>
    <n v="119"/>
    <n v="6.19"/>
    <n v="323"/>
    <n v="21.79"/>
    <x v="0"/>
  </r>
  <r>
    <x v="0"/>
    <s v="和泉市"/>
    <x v="51"/>
    <x v="2"/>
    <n v="464"/>
    <n v="13.59"/>
    <n v="235"/>
    <n v="12.21"/>
    <n v="229"/>
    <n v="15.45"/>
    <x v="0"/>
  </r>
  <r>
    <x v="0"/>
    <s v="和泉市"/>
    <x v="51"/>
    <x v="3"/>
    <n v="1"/>
    <n v="0.03"/>
    <n v="0"/>
    <n v="0"/>
    <n v="1"/>
    <n v="7.0000000000000007E-2"/>
    <x v="0"/>
  </r>
  <r>
    <x v="0"/>
    <s v="和泉市"/>
    <x v="51"/>
    <x v="4"/>
    <n v="16"/>
    <n v="0.47"/>
    <n v="1"/>
    <n v="0.05"/>
    <n v="15"/>
    <n v="1.01"/>
    <x v="0"/>
  </r>
  <r>
    <x v="0"/>
    <s v="和泉市"/>
    <x v="51"/>
    <x v="5"/>
    <n v="41"/>
    <n v="1.2"/>
    <n v="8"/>
    <n v="0.42"/>
    <n v="33"/>
    <n v="2.23"/>
    <x v="0"/>
  </r>
  <r>
    <x v="0"/>
    <s v="和泉市"/>
    <x v="51"/>
    <x v="6"/>
    <n v="730"/>
    <n v="21.38"/>
    <n v="375"/>
    <n v="19.489999999999998"/>
    <n v="354"/>
    <n v="23.89"/>
    <x v="18"/>
  </r>
  <r>
    <x v="0"/>
    <s v="和泉市"/>
    <x v="51"/>
    <x v="7"/>
    <n v="15"/>
    <n v="0.44"/>
    <n v="5"/>
    <n v="0.26"/>
    <n v="10"/>
    <n v="0.67"/>
    <x v="0"/>
  </r>
  <r>
    <x v="0"/>
    <s v="和泉市"/>
    <x v="51"/>
    <x v="8"/>
    <n v="371"/>
    <n v="10.86"/>
    <n v="152"/>
    <n v="7.9"/>
    <n v="218"/>
    <n v="14.71"/>
    <x v="0"/>
  </r>
  <r>
    <x v="0"/>
    <s v="和泉市"/>
    <x v="51"/>
    <x v="9"/>
    <n v="118"/>
    <n v="3.46"/>
    <n v="68"/>
    <n v="3.53"/>
    <n v="50"/>
    <n v="3.37"/>
    <x v="0"/>
  </r>
  <r>
    <x v="0"/>
    <s v="和泉市"/>
    <x v="51"/>
    <x v="10"/>
    <n v="370"/>
    <n v="10.83"/>
    <n v="342"/>
    <n v="17.78"/>
    <n v="28"/>
    <n v="1.89"/>
    <x v="0"/>
  </r>
  <r>
    <x v="0"/>
    <s v="和泉市"/>
    <x v="51"/>
    <x v="11"/>
    <n v="386"/>
    <n v="11.3"/>
    <n v="319"/>
    <n v="16.579999999999998"/>
    <n v="67"/>
    <n v="4.5199999999999996"/>
    <x v="0"/>
  </r>
  <r>
    <x v="0"/>
    <s v="和泉市"/>
    <x v="51"/>
    <x v="12"/>
    <n v="147"/>
    <n v="4.3"/>
    <n v="108"/>
    <n v="5.61"/>
    <n v="35"/>
    <n v="2.36"/>
    <x v="18"/>
  </r>
  <r>
    <x v="0"/>
    <s v="和泉市"/>
    <x v="51"/>
    <x v="13"/>
    <n v="183"/>
    <n v="5.36"/>
    <n v="123"/>
    <n v="6.39"/>
    <n v="57"/>
    <n v="3.85"/>
    <x v="0"/>
  </r>
  <r>
    <x v="0"/>
    <s v="和泉市"/>
    <x v="51"/>
    <x v="14"/>
    <n v="131"/>
    <n v="3.84"/>
    <n v="69"/>
    <n v="3.59"/>
    <n v="62"/>
    <n v="4.18"/>
    <x v="0"/>
  </r>
  <r>
    <x v="0"/>
    <s v="箕面市"/>
    <x v="52"/>
    <x v="0"/>
    <n v="0"/>
    <n v="0"/>
    <n v="0"/>
    <n v="0"/>
    <n v="0"/>
    <n v="0"/>
    <x v="0"/>
  </r>
  <r>
    <x v="0"/>
    <s v="箕面市"/>
    <x v="52"/>
    <x v="1"/>
    <n v="275"/>
    <n v="11.98"/>
    <n v="50"/>
    <n v="5.68"/>
    <n v="225"/>
    <n v="15.97"/>
    <x v="0"/>
  </r>
  <r>
    <x v="0"/>
    <s v="箕面市"/>
    <x v="52"/>
    <x v="2"/>
    <n v="91"/>
    <n v="3.97"/>
    <n v="19"/>
    <n v="2.16"/>
    <n v="72"/>
    <n v="5.1100000000000003"/>
    <x v="0"/>
  </r>
  <r>
    <x v="0"/>
    <s v="箕面市"/>
    <x v="52"/>
    <x v="3"/>
    <n v="3"/>
    <n v="0.13"/>
    <n v="0"/>
    <n v="0"/>
    <n v="3"/>
    <n v="0.21"/>
    <x v="0"/>
  </r>
  <r>
    <x v="0"/>
    <s v="箕面市"/>
    <x v="52"/>
    <x v="4"/>
    <n v="40"/>
    <n v="1.74"/>
    <n v="3"/>
    <n v="0.34"/>
    <n v="37"/>
    <n v="2.63"/>
    <x v="0"/>
  </r>
  <r>
    <x v="0"/>
    <s v="箕面市"/>
    <x v="52"/>
    <x v="5"/>
    <n v="20"/>
    <n v="0.87"/>
    <n v="1"/>
    <n v="0.11"/>
    <n v="19"/>
    <n v="1.35"/>
    <x v="0"/>
  </r>
  <r>
    <x v="0"/>
    <s v="箕面市"/>
    <x v="52"/>
    <x v="6"/>
    <n v="531"/>
    <n v="23.14"/>
    <n v="198"/>
    <n v="22.47"/>
    <n v="333"/>
    <n v="23.63"/>
    <x v="0"/>
  </r>
  <r>
    <x v="0"/>
    <s v="箕面市"/>
    <x v="52"/>
    <x v="7"/>
    <n v="9"/>
    <n v="0.39"/>
    <n v="0"/>
    <n v="0"/>
    <n v="9"/>
    <n v="0.64"/>
    <x v="0"/>
  </r>
  <r>
    <x v="0"/>
    <s v="箕面市"/>
    <x v="52"/>
    <x v="8"/>
    <n v="491"/>
    <n v="21.39"/>
    <n v="91"/>
    <n v="10.33"/>
    <n v="398"/>
    <n v="28.25"/>
    <x v="12"/>
  </r>
  <r>
    <x v="0"/>
    <s v="箕面市"/>
    <x v="52"/>
    <x v="9"/>
    <n v="126"/>
    <n v="5.49"/>
    <n v="43"/>
    <n v="4.88"/>
    <n v="83"/>
    <n v="5.89"/>
    <x v="0"/>
  </r>
  <r>
    <x v="0"/>
    <s v="箕面市"/>
    <x v="52"/>
    <x v="10"/>
    <n v="202"/>
    <n v="8.8000000000000007"/>
    <n v="153"/>
    <n v="17.37"/>
    <n v="49"/>
    <n v="3.48"/>
    <x v="0"/>
  </r>
  <r>
    <x v="0"/>
    <s v="箕面市"/>
    <x v="52"/>
    <x v="11"/>
    <n v="236"/>
    <n v="10.28"/>
    <n v="176"/>
    <n v="19.98"/>
    <n v="59"/>
    <n v="4.1900000000000004"/>
    <x v="18"/>
  </r>
  <r>
    <x v="0"/>
    <s v="箕面市"/>
    <x v="52"/>
    <x v="12"/>
    <n v="75"/>
    <n v="3.27"/>
    <n v="52"/>
    <n v="5.9"/>
    <n v="21"/>
    <n v="1.49"/>
    <x v="0"/>
  </r>
  <r>
    <x v="0"/>
    <s v="箕面市"/>
    <x v="52"/>
    <x v="13"/>
    <n v="133"/>
    <n v="5.8"/>
    <n v="86"/>
    <n v="9.76"/>
    <n v="47"/>
    <n v="3.34"/>
    <x v="0"/>
  </r>
  <r>
    <x v="0"/>
    <s v="箕面市"/>
    <x v="52"/>
    <x v="14"/>
    <n v="63"/>
    <n v="2.75"/>
    <n v="9"/>
    <n v="1.02"/>
    <n v="54"/>
    <n v="3.83"/>
    <x v="0"/>
  </r>
  <r>
    <x v="0"/>
    <s v="柏原市"/>
    <x v="53"/>
    <x v="0"/>
    <n v="0"/>
    <n v="0"/>
    <n v="0"/>
    <n v="0"/>
    <n v="0"/>
    <n v="0"/>
    <x v="0"/>
  </r>
  <r>
    <x v="0"/>
    <s v="柏原市"/>
    <x v="53"/>
    <x v="1"/>
    <n v="167"/>
    <n v="12.22"/>
    <n v="43"/>
    <n v="6.05"/>
    <n v="124"/>
    <n v="19.2"/>
    <x v="0"/>
  </r>
  <r>
    <x v="0"/>
    <s v="柏原市"/>
    <x v="53"/>
    <x v="2"/>
    <n v="205"/>
    <n v="15"/>
    <n v="67"/>
    <n v="9.42"/>
    <n v="138"/>
    <n v="21.36"/>
    <x v="0"/>
  </r>
  <r>
    <x v="0"/>
    <s v="柏原市"/>
    <x v="53"/>
    <x v="3"/>
    <n v="1"/>
    <n v="7.0000000000000007E-2"/>
    <n v="0"/>
    <n v="0"/>
    <n v="0"/>
    <n v="0"/>
    <x v="0"/>
  </r>
  <r>
    <x v="0"/>
    <s v="柏原市"/>
    <x v="53"/>
    <x v="4"/>
    <n v="2"/>
    <n v="0.15"/>
    <n v="0"/>
    <n v="0"/>
    <n v="2"/>
    <n v="0.31"/>
    <x v="0"/>
  </r>
  <r>
    <x v="0"/>
    <s v="柏原市"/>
    <x v="53"/>
    <x v="5"/>
    <n v="11"/>
    <n v="0.8"/>
    <n v="3"/>
    <n v="0.42"/>
    <n v="8"/>
    <n v="1.24"/>
    <x v="0"/>
  </r>
  <r>
    <x v="0"/>
    <s v="柏原市"/>
    <x v="53"/>
    <x v="6"/>
    <n v="282"/>
    <n v="20.63"/>
    <n v="179"/>
    <n v="25.18"/>
    <n v="102"/>
    <n v="15.79"/>
    <x v="18"/>
  </r>
  <r>
    <x v="0"/>
    <s v="柏原市"/>
    <x v="53"/>
    <x v="7"/>
    <n v="5"/>
    <n v="0.37"/>
    <n v="0"/>
    <n v="0"/>
    <n v="5"/>
    <n v="0.77"/>
    <x v="0"/>
  </r>
  <r>
    <x v="0"/>
    <s v="柏原市"/>
    <x v="53"/>
    <x v="8"/>
    <n v="177"/>
    <n v="12.95"/>
    <n v="65"/>
    <n v="9.14"/>
    <n v="111"/>
    <n v="17.18"/>
    <x v="18"/>
  </r>
  <r>
    <x v="0"/>
    <s v="柏原市"/>
    <x v="53"/>
    <x v="9"/>
    <n v="33"/>
    <n v="2.41"/>
    <n v="19"/>
    <n v="2.67"/>
    <n v="14"/>
    <n v="2.17"/>
    <x v="0"/>
  </r>
  <r>
    <x v="0"/>
    <s v="柏原市"/>
    <x v="53"/>
    <x v="10"/>
    <n v="131"/>
    <n v="9.58"/>
    <n v="107"/>
    <n v="15.05"/>
    <n v="24"/>
    <n v="3.72"/>
    <x v="0"/>
  </r>
  <r>
    <x v="0"/>
    <s v="柏原市"/>
    <x v="53"/>
    <x v="11"/>
    <n v="176"/>
    <n v="12.87"/>
    <n v="124"/>
    <n v="17.440000000000001"/>
    <n v="50"/>
    <n v="7.74"/>
    <x v="0"/>
  </r>
  <r>
    <x v="0"/>
    <s v="柏原市"/>
    <x v="53"/>
    <x v="12"/>
    <n v="44"/>
    <n v="3.22"/>
    <n v="37"/>
    <n v="5.2"/>
    <n v="6"/>
    <n v="0.93"/>
    <x v="0"/>
  </r>
  <r>
    <x v="0"/>
    <s v="柏原市"/>
    <x v="53"/>
    <x v="13"/>
    <n v="92"/>
    <n v="6.73"/>
    <n v="45"/>
    <n v="6.33"/>
    <n v="44"/>
    <n v="6.81"/>
    <x v="0"/>
  </r>
  <r>
    <x v="0"/>
    <s v="柏原市"/>
    <x v="53"/>
    <x v="14"/>
    <n v="41"/>
    <n v="3"/>
    <n v="22"/>
    <n v="3.09"/>
    <n v="18"/>
    <n v="2.79"/>
    <x v="0"/>
  </r>
  <r>
    <x v="0"/>
    <s v="羽曳野市"/>
    <x v="54"/>
    <x v="0"/>
    <n v="0"/>
    <n v="0"/>
    <n v="0"/>
    <n v="0"/>
    <n v="0"/>
    <n v="0"/>
    <x v="0"/>
  </r>
  <r>
    <x v="0"/>
    <s v="羽曳野市"/>
    <x v="54"/>
    <x v="1"/>
    <n v="322"/>
    <n v="14.72"/>
    <n v="89"/>
    <n v="7.95"/>
    <n v="233"/>
    <n v="22.3"/>
    <x v="0"/>
  </r>
  <r>
    <x v="0"/>
    <s v="羽曳野市"/>
    <x v="54"/>
    <x v="2"/>
    <n v="306"/>
    <n v="13.99"/>
    <n v="108"/>
    <n v="9.65"/>
    <n v="198"/>
    <n v="18.95"/>
    <x v="0"/>
  </r>
  <r>
    <x v="0"/>
    <s v="羽曳野市"/>
    <x v="54"/>
    <x v="3"/>
    <n v="4"/>
    <n v="0.18"/>
    <n v="0"/>
    <n v="0"/>
    <n v="4"/>
    <n v="0.38"/>
    <x v="0"/>
  </r>
  <r>
    <x v="0"/>
    <s v="羽曳野市"/>
    <x v="54"/>
    <x v="4"/>
    <n v="15"/>
    <n v="0.69"/>
    <n v="2"/>
    <n v="0.18"/>
    <n v="13"/>
    <n v="1.24"/>
    <x v="0"/>
  </r>
  <r>
    <x v="0"/>
    <s v="羽曳野市"/>
    <x v="54"/>
    <x v="5"/>
    <n v="21"/>
    <n v="0.96"/>
    <n v="9"/>
    <n v="0.8"/>
    <n v="12"/>
    <n v="1.1499999999999999"/>
    <x v="0"/>
  </r>
  <r>
    <x v="0"/>
    <s v="羽曳野市"/>
    <x v="54"/>
    <x v="6"/>
    <n v="436"/>
    <n v="19.940000000000001"/>
    <n v="239"/>
    <n v="21.36"/>
    <n v="197"/>
    <n v="18.850000000000001"/>
    <x v="0"/>
  </r>
  <r>
    <x v="0"/>
    <s v="羽曳野市"/>
    <x v="54"/>
    <x v="7"/>
    <n v="6"/>
    <n v="0.27"/>
    <n v="1"/>
    <n v="0.09"/>
    <n v="5"/>
    <n v="0.48"/>
    <x v="0"/>
  </r>
  <r>
    <x v="0"/>
    <s v="羽曳野市"/>
    <x v="54"/>
    <x v="8"/>
    <n v="309"/>
    <n v="14.13"/>
    <n v="119"/>
    <n v="10.63"/>
    <n v="190"/>
    <n v="18.18"/>
    <x v="0"/>
  </r>
  <r>
    <x v="0"/>
    <s v="羽曳野市"/>
    <x v="54"/>
    <x v="9"/>
    <n v="90"/>
    <n v="4.12"/>
    <n v="42"/>
    <n v="3.75"/>
    <n v="48"/>
    <n v="4.59"/>
    <x v="0"/>
  </r>
  <r>
    <x v="0"/>
    <s v="羽曳野市"/>
    <x v="54"/>
    <x v="10"/>
    <n v="181"/>
    <n v="8.2799999999999994"/>
    <n v="161"/>
    <n v="14.39"/>
    <n v="19"/>
    <n v="1.82"/>
    <x v="0"/>
  </r>
  <r>
    <x v="0"/>
    <s v="羽曳野市"/>
    <x v="54"/>
    <x v="11"/>
    <n v="207"/>
    <n v="9.4700000000000006"/>
    <n v="172"/>
    <n v="15.37"/>
    <n v="34"/>
    <n v="3.25"/>
    <x v="0"/>
  </r>
  <r>
    <x v="0"/>
    <s v="羽曳野市"/>
    <x v="54"/>
    <x v="12"/>
    <n v="85"/>
    <n v="3.89"/>
    <n v="71"/>
    <n v="6.34"/>
    <n v="12"/>
    <n v="1.1499999999999999"/>
    <x v="0"/>
  </r>
  <r>
    <x v="0"/>
    <s v="羽曳野市"/>
    <x v="54"/>
    <x v="13"/>
    <n v="133"/>
    <n v="6.08"/>
    <n v="71"/>
    <n v="6.34"/>
    <n v="45"/>
    <n v="4.3099999999999996"/>
    <x v="18"/>
  </r>
  <r>
    <x v="0"/>
    <s v="羽曳野市"/>
    <x v="54"/>
    <x v="14"/>
    <n v="72"/>
    <n v="3.29"/>
    <n v="35"/>
    <n v="3.13"/>
    <n v="35"/>
    <n v="3.35"/>
    <x v="0"/>
  </r>
  <r>
    <x v="0"/>
    <s v="門真市"/>
    <x v="55"/>
    <x v="0"/>
    <n v="0"/>
    <n v="0"/>
    <n v="0"/>
    <n v="0"/>
    <n v="0"/>
    <n v="0"/>
    <x v="0"/>
  </r>
  <r>
    <x v="0"/>
    <s v="門真市"/>
    <x v="55"/>
    <x v="1"/>
    <n v="372"/>
    <n v="12.22"/>
    <n v="68"/>
    <n v="4.41"/>
    <n v="304"/>
    <n v="20.29"/>
    <x v="0"/>
  </r>
  <r>
    <x v="0"/>
    <s v="門真市"/>
    <x v="55"/>
    <x v="2"/>
    <n v="435"/>
    <n v="14.29"/>
    <n v="153"/>
    <n v="9.92"/>
    <n v="282"/>
    <n v="18.829999999999998"/>
    <x v="0"/>
  </r>
  <r>
    <x v="0"/>
    <s v="門真市"/>
    <x v="55"/>
    <x v="3"/>
    <n v="2"/>
    <n v="7.0000000000000007E-2"/>
    <n v="0"/>
    <n v="0"/>
    <n v="2"/>
    <n v="0.13"/>
    <x v="0"/>
  </r>
  <r>
    <x v="0"/>
    <s v="門真市"/>
    <x v="55"/>
    <x v="4"/>
    <n v="17"/>
    <n v="0.56000000000000005"/>
    <n v="1"/>
    <n v="0.06"/>
    <n v="16"/>
    <n v="1.07"/>
    <x v="0"/>
  </r>
  <r>
    <x v="0"/>
    <s v="門真市"/>
    <x v="55"/>
    <x v="5"/>
    <n v="63"/>
    <n v="2.0699999999999998"/>
    <n v="18"/>
    <n v="1.17"/>
    <n v="45"/>
    <n v="3"/>
    <x v="0"/>
  </r>
  <r>
    <x v="0"/>
    <s v="門真市"/>
    <x v="55"/>
    <x v="6"/>
    <n v="511"/>
    <n v="16.78"/>
    <n v="286"/>
    <n v="18.54"/>
    <n v="225"/>
    <n v="15.02"/>
    <x v="0"/>
  </r>
  <r>
    <x v="0"/>
    <s v="門真市"/>
    <x v="55"/>
    <x v="7"/>
    <n v="9"/>
    <n v="0.3"/>
    <n v="1"/>
    <n v="0.06"/>
    <n v="8"/>
    <n v="0.53"/>
    <x v="0"/>
  </r>
  <r>
    <x v="0"/>
    <s v="門真市"/>
    <x v="55"/>
    <x v="8"/>
    <n v="395"/>
    <n v="12.97"/>
    <n v="66"/>
    <n v="4.28"/>
    <n v="329"/>
    <n v="21.96"/>
    <x v="0"/>
  </r>
  <r>
    <x v="0"/>
    <s v="門真市"/>
    <x v="55"/>
    <x v="9"/>
    <n v="73"/>
    <n v="2.4"/>
    <n v="34"/>
    <n v="2.2000000000000002"/>
    <n v="39"/>
    <n v="2.6"/>
    <x v="0"/>
  </r>
  <r>
    <x v="0"/>
    <s v="門真市"/>
    <x v="55"/>
    <x v="10"/>
    <n v="503"/>
    <n v="16.52"/>
    <n v="460"/>
    <n v="29.81"/>
    <n v="43"/>
    <n v="2.87"/>
    <x v="0"/>
  </r>
  <r>
    <x v="0"/>
    <s v="門真市"/>
    <x v="55"/>
    <x v="11"/>
    <n v="336"/>
    <n v="11.03"/>
    <n v="273"/>
    <n v="17.690000000000001"/>
    <n v="63"/>
    <n v="4.21"/>
    <x v="0"/>
  </r>
  <r>
    <x v="0"/>
    <s v="門真市"/>
    <x v="55"/>
    <x v="12"/>
    <n v="55"/>
    <n v="1.81"/>
    <n v="39"/>
    <n v="2.5299999999999998"/>
    <n v="15"/>
    <n v="1"/>
    <x v="0"/>
  </r>
  <r>
    <x v="0"/>
    <s v="門真市"/>
    <x v="55"/>
    <x v="13"/>
    <n v="167"/>
    <n v="5.48"/>
    <n v="94"/>
    <n v="6.09"/>
    <n v="71"/>
    <n v="4.74"/>
    <x v="0"/>
  </r>
  <r>
    <x v="0"/>
    <s v="門真市"/>
    <x v="55"/>
    <x v="14"/>
    <n v="107"/>
    <n v="3.51"/>
    <n v="50"/>
    <n v="3.24"/>
    <n v="56"/>
    <n v="3.74"/>
    <x v="18"/>
  </r>
  <r>
    <x v="0"/>
    <s v="摂津市"/>
    <x v="56"/>
    <x v="0"/>
    <n v="0"/>
    <n v="0"/>
    <n v="0"/>
    <n v="0"/>
    <n v="0"/>
    <n v="0"/>
    <x v="0"/>
  </r>
  <r>
    <x v="0"/>
    <s v="摂津市"/>
    <x v="56"/>
    <x v="1"/>
    <n v="357"/>
    <n v="15.93"/>
    <n v="80"/>
    <n v="9.2799999999999994"/>
    <n v="277"/>
    <n v="20.2"/>
    <x v="0"/>
  </r>
  <r>
    <x v="0"/>
    <s v="摂津市"/>
    <x v="56"/>
    <x v="2"/>
    <n v="428"/>
    <n v="19.100000000000001"/>
    <n v="120"/>
    <n v="13.92"/>
    <n v="308"/>
    <n v="22.47"/>
    <x v="0"/>
  </r>
  <r>
    <x v="0"/>
    <s v="摂津市"/>
    <x v="56"/>
    <x v="3"/>
    <n v="0"/>
    <n v="0"/>
    <n v="0"/>
    <n v="0"/>
    <n v="0"/>
    <n v="0"/>
    <x v="0"/>
  </r>
  <r>
    <x v="0"/>
    <s v="摂津市"/>
    <x v="56"/>
    <x v="4"/>
    <n v="10"/>
    <n v="0.45"/>
    <n v="0"/>
    <n v="0"/>
    <n v="10"/>
    <n v="0.73"/>
    <x v="0"/>
  </r>
  <r>
    <x v="0"/>
    <s v="摂津市"/>
    <x v="56"/>
    <x v="5"/>
    <n v="58"/>
    <n v="2.59"/>
    <n v="1"/>
    <n v="0.12"/>
    <n v="57"/>
    <n v="4.16"/>
    <x v="0"/>
  </r>
  <r>
    <x v="0"/>
    <s v="摂津市"/>
    <x v="56"/>
    <x v="6"/>
    <n v="357"/>
    <n v="15.93"/>
    <n v="156"/>
    <n v="18.100000000000001"/>
    <n v="201"/>
    <n v="14.66"/>
    <x v="0"/>
  </r>
  <r>
    <x v="0"/>
    <s v="摂津市"/>
    <x v="56"/>
    <x v="7"/>
    <n v="10"/>
    <n v="0.45"/>
    <n v="2"/>
    <n v="0.23"/>
    <n v="8"/>
    <n v="0.57999999999999996"/>
    <x v="0"/>
  </r>
  <r>
    <x v="0"/>
    <s v="摂津市"/>
    <x v="56"/>
    <x v="8"/>
    <n v="351"/>
    <n v="15.66"/>
    <n v="41"/>
    <n v="4.76"/>
    <n v="310"/>
    <n v="22.61"/>
    <x v="0"/>
  </r>
  <r>
    <x v="0"/>
    <s v="摂津市"/>
    <x v="56"/>
    <x v="9"/>
    <n v="52"/>
    <n v="2.3199999999999998"/>
    <n v="20"/>
    <n v="2.3199999999999998"/>
    <n v="32"/>
    <n v="2.33"/>
    <x v="0"/>
  </r>
  <r>
    <x v="0"/>
    <s v="摂津市"/>
    <x v="56"/>
    <x v="10"/>
    <n v="198"/>
    <n v="8.84"/>
    <n v="168"/>
    <n v="19.489999999999998"/>
    <n v="30"/>
    <n v="2.19"/>
    <x v="0"/>
  </r>
  <r>
    <x v="0"/>
    <s v="摂津市"/>
    <x v="56"/>
    <x v="11"/>
    <n v="174"/>
    <n v="7.76"/>
    <n v="141"/>
    <n v="16.36"/>
    <n v="33"/>
    <n v="2.41"/>
    <x v="0"/>
  </r>
  <r>
    <x v="0"/>
    <s v="摂津市"/>
    <x v="56"/>
    <x v="12"/>
    <n v="55"/>
    <n v="2.4500000000000002"/>
    <n v="35"/>
    <n v="4.0599999999999996"/>
    <n v="13"/>
    <n v="0.95"/>
    <x v="1"/>
  </r>
  <r>
    <x v="0"/>
    <s v="摂津市"/>
    <x v="56"/>
    <x v="13"/>
    <n v="85"/>
    <n v="3.79"/>
    <n v="54"/>
    <n v="6.26"/>
    <n v="31"/>
    <n v="2.2599999999999998"/>
    <x v="0"/>
  </r>
  <r>
    <x v="0"/>
    <s v="摂津市"/>
    <x v="56"/>
    <x v="14"/>
    <n v="106"/>
    <n v="4.7300000000000004"/>
    <n v="44"/>
    <n v="5.0999999999999996"/>
    <n v="61"/>
    <n v="4.45"/>
    <x v="18"/>
  </r>
  <r>
    <x v="0"/>
    <s v="高石市"/>
    <x v="57"/>
    <x v="0"/>
    <n v="0"/>
    <n v="0"/>
    <n v="0"/>
    <n v="0"/>
    <n v="0"/>
    <n v="0"/>
    <x v="0"/>
  </r>
  <r>
    <x v="0"/>
    <s v="高石市"/>
    <x v="57"/>
    <x v="1"/>
    <n v="140"/>
    <n v="12.47"/>
    <n v="23"/>
    <n v="3.89"/>
    <n v="117"/>
    <n v="22.16"/>
    <x v="0"/>
  </r>
  <r>
    <x v="0"/>
    <s v="高石市"/>
    <x v="57"/>
    <x v="2"/>
    <n v="77"/>
    <n v="6.86"/>
    <n v="23"/>
    <n v="3.89"/>
    <n v="54"/>
    <n v="10.23"/>
    <x v="0"/>
  </r>
  <r>
    <x v="0"/>
    <s v="高石市"/>
    <x v="57"/>
    <x v="3"/>
    <n v="1"/>
    <n v="0.09"/>
    <n v="0"/>
    <n v="0"/>
    <n v="1"/>
    <n v="0.19"/>
    <x v="0"/>
  </r>
  <r>
    <x v="0"/>
    <s v="高石市"/>
    <x v="57"/>
    <x v="4"/>
    <n v="11"/>
    <n v="0.98"/>
    <n v="0"/>
    <n v="0"/>
    <n v="11"/>
    <n v="2.08"/>
    <x v="0"/>
  </r>
  <r>
    <x v="0"/>
    <s v="高石市"/>
    <x v="57"/>
    <x v="5"/>
    <n v="15"/>
    <n v="1.34"/>
    <n v="1"/>
    <n v="0.17"/>
    <n v="14"/>
    <n v="2.65"/>
    <x v="0"/>
  </r>
  <r>
    <x v="0"/>
    <s v="高石市"/>
    <x v="57"/>
    <x v="6"/>
    <n v="239"/>
    <n v="21.28"/>
    <n v="137"/>
    <n v="23.18"/>
    <n v="102"/>
    <n v="19.32"/>
    <x v="0"/>
  </r>
  <r>
    <x v="0"/>
    <s v="高石市"/>
    <x v="57"/>
    <x v="7"/>
    <n v="4"/>
    <n v="0.36"/>
    <n v="1"/>
    <n v="0.17"/>
    <n v="3"/>
    <n v="0.56999999999999995"/>
    <x v="0"/>
  </r>
  <r>
    <x v="0"/>
    <s v="高石市"/>
    <x v="57"/>
    <x v="8"/>
    <n v="133"/>
    <n v="11.84"/>
    <n v="43"/>
    <n v="7.28"/>
    <n v="90"/>
    <n v="17.05"/>
    <x v="0"/>
  </r>
  <r>
    <x v="0"/>
    <s v="高石市"/>
    <x v="57"/>
    <x v="9"/>
    <n v="47"/>
    <n v="4.1900000000000004"/>
    <n v="19"/>
    <n v="3.21"/>
    <n v="28"/>
    <n v="5.3"/>
    <x v="0"/>
  </r>
  <r>
    <x v="0"/>
    <s v="高石市"/>
    <x v="57"/>
    <x v="10"/>
    <n v="133"/>
    <n v="11.84"/>
    <n v="111"/>
    <n v="18.78"/>
    <n v="22"/>
    <n v="4.17"/>
    <x v="0"/>
  </r>
  <r>
    <x v="0"/>
    <s v="高石市"/>
    <x v="57"/>
    <x v="11"/>
    <n v="153"/>
    <n v="13.62"/>
    <n v="121"/>
    <n v="20.47"/>
    <n v="31"/>
    <n v="5.87"/>
    <x v="0"/>
  </r>
  <r>
    <x v="0"/>
    <s v="高石市"/>
    <x v="57"/>
    <x v="12"/>
    <n v="61"/>
    <n v="5.43"/>
    <n v="49"/>
    <n v="8.2899999999999991"/>
    <n v="11"/>
    <n v="2.08"/>
    <x v="0"/>
  </r>
  <r>
    <x v="0"/>
    <s v="高石市"/>
    <x v="57"/>
    <x v="13"/>
    <n v="65"/>
    <n v="5.79"/>
    <n v="45"/>
    <n v="7.61"/>
    <n v="19"/>
    <n v="3.6"/>
    <x v="0"/>
  </r>
  <r>
    <x v="0"/>
    <s v="高石市"/>
    <x v="57"/>
    <x v="14"/>
    <n v="44"/>
    <n v="3.92"/>
    <n v="18"/>
    <n v="3.05"/>
    <n v="25"/>
    <n v="4.7300000000000004"/>
    <x v="0"/>
  </r>
  <r>
    <x v="0"/>
    <s v="藤井寺市"/>
    <x v="58"/>
    <x v="0"/>
    <n v="0"/>
    <n v="0"/>
    <n v="0"/>
    <n v="0"/>
    <n v="0"/>
    <n v="0"/>
    <x v="0"/>
  </r>
  <r>
    <x v="0"/>
    <s v="藤井寺市"/>
    <x v="58"/>
    <x v="1"/>
    <n v="166"/>
    <n v="10.050000000000001"/>
    <n v="54"/>
    <n v="5.59"/>
    <n v="112"/>
    <n v="16.37"/>
    <x v="0"/>
  </r>
  <r>
    <x v="0"/>
    <s v="藤井寺市"/>
    <x v="58"/>
    <x v="2"/>
    <n v="149"/>
    <n v="9.02"/>
    <n v="60"/>
    <n v="6.21"/>
    <n v="89"/>
    <n v="13.01"/>
    <x v="0"/>
  </r>
  <r>
    <x v="0"/>
    <s v="藤井寺市"/>
    <x v="58"/>
    <x v="3"/>
    <n v="0"/>
    <n v="0"/>
    <n v="0"/>
    <n v="0"/>
    <n v="0"/>
    <n v="0"/>
    <x v="0"/>
  </r>
  <r>
    <x v="0"/>
    <s v="藤井寺市"/>
    <x v="58"/>
    <x v="4"/>
    <n v="10"/>
    <n v="0.61"/>
    <n v="1"/>
    <n v="0.1"/>
    <n v="9"/>
    <n v="1.32"/>
    <x v="0"/>
  </r>
  <r>
    <x v="0"/>
    <s v="藤井寺市"/>
    <x v="58"/>
    <x v="5"/>
    <n v="10"/>
    <n v="0.61"/>
    <n v="3"/>
    <n v="0.31"/>
    <n v="7"/>
    <n v="1.02"/>
    <x v="0"/>
  </r>
  <r>
    <x v="0"/>
    <s v="藤井寺市"/>
    <x v="58"/>
    <x v="6"/>
    <n v="338"/>
    <n v="20.46"/>
    <n v="182"/>
    <n v="18.84"/>
    <n v="156"/>
    <n v="22.81"/>
    <x v="0"/>
  </r>
  <r>
    <x v="0"/>
    <s v="藤井寺市"/>
    <x v="58"/>
    <x v="7"/>
    <n v="12"/>
    <n v="0.73"/>
    <n v="4"/>
    <n v="0.41"/>
    <n v="8"/>
    <n v="1.17"/>
    <x v="0"/>
  </r>
  <r>
    <x v="0"/>
    <s v="藤井寺市"/>
    <x v="58"/>
    <x v="8"/>
    <n v="291"/>
    <n v="17.62"/>
    <n v="125"/>
    <n v="12.94"/>
    <n v="166"/>
    <n v="24.27"/>
    <x v="0"/>
  </r>
  <r>
    <x v="0"/>
    <s v="藤井寺市"/>
    <x v="58"/>
    <x v="9"/>
    <n v="53"/>
    <n v="3.21"/>
    <n v="28"/>
    <n v="2.9"/>
    <n v="24"/>
    <n v="3.51"/>
    <x v="0"/>
  </r>
  <r>
    <x v="0"/>
    <s v="藤井寺市"/>
    <x v="58"/>
    <x v="10"/>
    <n v="247"/>
    <n v="14.95"/>
    <n v="220"/>
    <n v="22.77"/>
    <n v="27"/>
    <n v="3.95"/>
    <x v="0"/>
  </r>
  <r>
    <x v="0"/>
    <s v="藤井寺市"/>
    <x v="58"/>
    <x v="11"/>
    <n v="174"/>
    <n v="10.53"/>
    <n v="144"/>
    <n v="14.91"/>
    <n v="30"/>
    <n v="4.3899999999999997"/>
    <x v="0"/>
  </r>
  <r>
    <x v="0"/>
    <s v="藤井寺市"/>
    <x v="58"/>
    <x v="12"/>
    <n v="67"/>
    <n v="4.0599999999999996"/>
    <n v="56"/>
    <n v="5.8"/>
    <n v="11"/>
    <n v="1.61"/>
    <x v="0"/>
  </r>
  <r>
    <x v="0"/>
    <s v="藤井寺市"/>
    <x v="58"/>
    <x v="13"/>
    <n v="89"/>
    <n v="5.39"/>
    <n v="66"/>
    <n v="6.83"/>
    <n v="23"/>
    <n v="3.36"/>
    <x v="0"/>
  </r>
  <r>
    <x v="0"/>
    <s v="藤井寺市"/>
    <x v="58"/>
    <x v="14"/>
    <n v="46"/>
    <n v="2.78"/>
    <n v="23"/>
    <n v="2.38"/>
    <n v="22"/>
    <n v="3.22"/>
    <x v="0"/>
  </r>
  <r>
    <x v="0"/>
    <s v="東大阪市"/>
    <x v="59"/>
    <x v="0"/>
    <n v="0"/>
    <n v="0"/>
    <n v="0"/>
    <n v="0"/>
    <n v="0"/>
    <n v="0"/>
    <x v="0"/>
  </r>
  <r>
    <x v="0"/>
    <s v="東大阪市"/>
    <x v="59"/>
    <x v="1"/>
    <n v="1490"/>
    <n v="10.11"/>
    <n v="329"/>
    <n v="4.6500000000000004"/>
    <n v="1160"/>
    <n v="15.15"/>
    <x v="18"/>
  </r>
  <r>
    <x v="0"/>
    <s v="東大阪市"/>
    <x v="59"/>
    <x v="2"/>
    <n v="3917"/>
    <n v="26.57"/>
    <n v="1618"/>
    <n v="22.88"/>
    <n v="2299"/>
    <n v="30.03"/>
    <x v="0"/>
  </r>
  <r>
    <x v="0"/>
    <s v="東大阪市"/>
    <x v="59"/>
    <x v="3"/>
    <n v="4"/>
    <n v="0.03"/>
    <n v="0"/>
    <n v="0"/>
    <n v="4"/>
    <n v="0.05"/>
    <x v="0"/>
  </r>
  <r>
    <x v="0"/>
    <s v="東大阪市"/>
    <x v="59"/>
    <x v="4"/>
    <n v="92"/>
    <n v="0.62"/>
    <n v="7"/>
    <n v="0.1"/>
    <n v="85"/>
    <n v="1.1100000000000001"/>
    <x v="0"/>
  </r>
  <r>
    <x v="0"/>
    <s v="東大阪市"/>
    <x v="59"/>
    <x v="5"/>
    <n v="226"/>
    <n v="1.53"/>
    <n v="74"/>
    <n v="1.05"/>
    <n v="151"/>
    <n v="1.97"/>
    <x v="18"/>
  </r>
  <r>
    <x v="0"/>
    <s v="東大阪市"/>
    <x v="59"/>
    <x v="6"/>
    <n v="2821"/>
    <n v="19.14"/>
    <n v="1408"/>
    <n v="19.91"/>
    <n v="1413"/>
    <n v="18.46"/>
    <x v="0"/>
  </r>
  <r>
    <x v="0"/>
    <s v="東大阪市"/>
    <x v="59"/>
    <x v="7"/>
    <n v="71"/>
    <n v="0.48"/>
    <n v="12"/>
    <n v="0.17"/>
    <n v="59"/>
    <n v="0.77"/>
    <x v="0"/>
  </r>
  <r>
    <x v="0"/>
    <s v="東大阪市"/>
    <x v="59"/>
    <x v="8"/>
    <n v="1670"/>
    <n v="11.33"/>
    <n v="327"/>
    <n v="4.62"/>
    <n v="1339"/>
    <n v="17.489999999999998"/>
    <x v="2"/>
  </r>
  <r>
    <x v="0"/>
    <s v="東大阪市"/>
    <x v="59"/>
    <x v="9"/>
    <n v="449"/>
    <n v="3.05"/>
    <n v="227"/>
    <n v="3.21"/>
    <n v="222"/>
    <n v="2.9"/>
    <x v="0"/>
  </r>
  <r>
    <x v="0"/>
    <s v="東大阪市"/>
    <x v="59"/>
    <x v="10"/>
    <n v="1414"/>
    <n v="9.59"/>
    <n v="1281"/>
    <n v="18.11"/>
    <n v="131"/>
    <n v="1.71"/>
    <x v="0"/>
  </r>
  <r>
    <x v="0"/>
    <s v="東大阪市"/>
    <x v="59"/>
    <x v="11"/>
    <n v="1180"/>
    <n v="8.01"/>
    <n v="965"/>
    <n v="13.64"/>
    <n v="215"/>
    <n v="2.81"/>
    <x v="0"/>
  </r>
  <r>
    <x v="0"/>
    <s v="東大阪市"/>
    <x v="59"/>
    <x v="12"/>
    <n v="350"/>
    <n v="2.37"/>
    <n v="274"/>
    <n v="3.87"/>
    <n v="75"/>
    <n v="0.98"/>
    <x v="0"/>
  </r>
  <r>
    <x v="0"/>
    <s v="東大阪市"/>
    <x v="59"/>
    <x v="13"/>
    <n v="688"/>
    <n v="4.67"/>
    <n v="395"/>
    <n v="5.58"/>
    <n v="291"/>
    <n v="3.8"/>
    <x v="0"/>
  </r>
  <r>
    <x v="0"/>
    <s v="東大阪市"/>
    <x v="59"/>
    <x v="14"/>
    <n v="368"/>
    <n v="2.5"/>
    <n v="156"/>
    <n v="2.21"/>
    <n v="211"/>
    <n v="2.76"/>
    <x v="18"/>
  </r>
  <r>
    <x v="0"/>
    <s v="泉南市"/>
    <x v="60"/>
    <x v="0"/>
    <n v="0"/>
    <n v="0"/>
    <n v="0"/>
    <n v="0"/>
    <n v="0"/>
    <n v="0"/>
    <x v="0"/>
  </r>
  <r>
    <x v="0"/>
    <s v="泉南市"/>
    <x v="60"/>
    <x v="1"/>
    <n v="146"/>
    <n v="13.38"/>
    <n v="43"/>
    <n v="6.96"/>
    <n v="103"/>
    <n v="22.49"/>
    <x v="0"/>
  </r>
  <r>
    <x v="0"/>
    <s v="泉南市"/>
    <x v="60"/>
    <x v="2"/>
    <n v="131"/>
    <n v="12.01"/>
    <n v="54"/>
    <n v="8.74"/>
    <n v="77"/>
    <n v="16.809999999999999"/>
    <x v="0"/>
  </r>
  <r>
    <x v="0"/>
    <s v="泉南市"/>
    <x v="60"/>
    <x v="3"/>
    <n v="3"/>
    <n v="0.27"/>
    <n v="0"/>
    <n v="0"/>
    <n v="3"/>
    <n v="0.66"/>
    <x v="0"/>
  </r>
  <r>
    <x v="0"/>
    <s v="泉南市"/>
    <x v="60"/>
    <x v="4"/>
    <n v="5"/>
    <n v="0.46"/>
    <n v="0"/>
    <n v="0"/>
    <n v="5"/>
    <n v="1.0900000000000001"/>
    <x v="0"/>
  </r>
  <r>
    <x v="0"/>
    <s v="泉南市"/>
    <x v="60"/>
    <x v="5"/>
    <n v="30"/>
    <n v="2.75"/>
    <n v="0"/>
    <n v="0"/>
    <n v="30"/>
    <n v="6.55"/>
    <x v="0"/>
  </r>
  <r>
    <x v="0"/>
    <s v="泉南市"/>
    <x v="60"/>
    <x v="6"/>
    <n v="261"/>
    <n v="23.92"/>
    <n v="157"/>
    <n v="25.4"/>
    <n v="104"/>
    <n v="22.71"/>
    <x v="0"/>
  </r>
  <r>
    <x v="0"/>
    <s v="泉南市"/>
    <x v="60"/>
    <x v="7"/>
    <n v="5"/>
    <n v="0.46"/>
    <n v="2"/>
    <n v="0.32"/>
    <n v="3"/>
    <n v="0.66"/>
    <x v="0"/>
  </r>
  <r>
    <x v="0"/>
    <s v="泉南市"/>
    <x v="60"/>
    <x v="8"/>
    <n v="115"/>
    <n v="10.54"/>
    <n v="63"/>
    <n v="10.19"/>
    <n v="51"/>
    <n v="11.14"/>
    <x v="18"/>
  </r>
  <r>
    <x v="0"/>
    <s v="泉南市"/>
    <x v="60"/>
    <x v="9"/>
    <n v="29"/>
    <n v="2.66"/>
    <n v="19"/>
    <n v="3.07"/>
    <n v="10"/>
    <n v="2.1800000000000002"/>
    <x v="0"/>
  </r>
  <r>
    <x v="0"/>
    <s v="泉南市"/>
    <x v="60"/>
    <x v="10"/>
    <n v="92"/>
    <n v="8.43"/>
    <n v="82"/>
    <n v="13.27"/>
    <n v="10"/>
    <n v="2.1800000000000002"/>
    <x v="0"/>
  </r>
  <r>
    <x v="0"/>
    <s v="泉南市"/>
    <x v="60"/>
    <x v="11"/>
    <n v="128"/>
    <n v="11.73"/>
    <n v="111"/>
    <n v="17.96"/>
    <n v="17"/>
    <n v="3.71"/>
    <x v="0"/>
  </r>
  <r>
    <x v="0"/>
    <s v="泉南市"/>
    <x v="60"/>
    <x v="12"/>
    <n v="44"/>
    <n v="4.03"/>
    <n v="34"/>
    <n v="5.5"/>
    <n v="6"/>
    <n v="1.31"/>
    <x v="0"/>
  </r>
  <r>
    <x v="0"/>
    <s v="泉南市"/>
    <x v="60"/>
    <x v="13"/>
    <n v="67"/>
    <n v="6.14"/>
    <n v="35"/>
    <n v="5.66"/>
    <n v="24"/>
    <n v="5.24"/>
    <x v="0"/>
  </r>
  <r>
    <x v="0"/>
    <s v="泉南市"/>
    <x v="60"/>
    <x v="14"/>
    <n v="35"/>
    <n v="3.21"/>
    <n v="18"/>
    <n v="2.91"/>
    <n v="15"/>
    <n v="3.28"/>
    <x v="18"/>
  </r>
  <r>
    <x v="0"/>
    <s v="四條畷市"/>
    <x v="61"/>
    <x v="0"/>
    <n v="0"/>
    <n v="0"/>
    <n v="0"/>
    <n v="0"/>
    <n v="0"/>
    <n v="0"/>
    <x v="0"/>
  </r>
  <r>
    <x v="0"/>
    <s v="四條畷市"/>
    <x v="61"/>
    <x v="1"/>
    <n v="158"/>
    <n v="13.86"/>
    <n v="35"/>
    <n v="5.56"/>
    <n v="123"/>
    <n v="24.36"/>
    <x v="0"/>
  </r>
  <r>
    <x v="0"/>
    <s v="四條畷市"/>
    <x v="61"/>
    <x v="2"/>
    <n v="80"/>
    <n v="7.02"/>
    <n v="33"/>
    <n v="5.25"/>
    <n v="47"/>
    <n v="9.31"/>
    <x v="0"/>
  </r>
  <r>
    <x v="0"/>
    <s v="四條畷市"/>
    <x v="61"/>
    <x v="3"/>
    <n v="3"/>
    <n v="0.26"/>
    <n v="0"/>
    <n v="0"/>
    <n v="2"/>
    <n v="0.4"/>
    <x v="0"/>
  </r>
  <r>
    <x v="0"/>
    <s v="四條畷市"/>
    <x v="61"/>
    <x v="4"/>
    <n v="8"/>
    <n v="0.7"/>
    <n v="1"/>
    <n v="0.16"/>
    <n v="7"/>
    <n v="1.39"/>
    <x v="0"/>
  </r>
  <r>
    <x v="0"/>
    <s v="四條畷市"/>
    <x v="61"/>
    <x v="5"/>
    <n v="14"/>
    <n v="1.23"/>
    <n v="5"/>
    <n v="0.79"/>
    <n v="9"/>
    <n v="1.78"/>
    <x v="0"/>
  </r>
  <r>
    <x v="0"/>
    <s v="四條畷市"/>
    <x v="61"/>
    <x v="6"/>
    <n v="215"/>
    <n v="18.86"/>
    <n v="101"/>
    <n v="16.059999999999999"/>
    <n v="114"/>
    <n v="22.57"/>
    <x v="0"/>
  </r>
  <r>
    <x v="0"/>
    <s v="四條畷市"/>
    <x v="61"/>
    <x v="7"/>
    <n v="2"/>
    <n v="0.18"/>
    <n v="0"/>
    <n v="0"/>
    <n v="2"/>
    <n v="0.4"/>
    <x v="0"/>
  </r>
  <r>
    <x v="0"/>
    <s v="四條畷市"/>
    <x v="61"/>
    <x v="8"/>
    <n v="229"/>
    <n v="20.09"/>
    <n v="144"/>
    <n v="22.89"/>
    <n v="84"/>
    <n v="16.63"/>
    <x v="18"/>
  </r>
  <r>
    <x v="0"/>
    <s v="四條畷市"/>
    <x v="61"/>
    <x v="9"/>
    <n v="36"/>
    <n v="3.16"/>
    <n v="19"/>
    <n v="3.02"/>
    <n v="17"/>
    <n v="3.37"/>
    <x v="0"/>
  </r>
  <r>
    <x v="0"/>
    <s v="四條畷市"/>
    <x v="61"/>
    <x v="10"/>
    <n v="126"/>
    <n v="11.05"/>
    <n v="116"/>
    <n v="18.440000000000001"/>
    <n v="9"/>
    <n v="1.78"/>
    <x v="0"/>
  </r>
  <r>
    <x v="0"/>
    <s v="四條畷市"/>
    <x v="61"/>
    <x v="11"/>
    <n v="137"/>
    <n v="12.02"/>
    <n v="110"/>
    <n v="17.489999999999998"/>
    <n v="27"/>
    <n v="5.35"/>
    <x v="0"/>
  </r>
  <r>
    <x v="0"/>
    <s v="四條畷市"/>
    <x v="61"/>
    <x v="12"/>
    <n v="50"/>
    <n v="4.3899999999999997"/>
    <n v="34"/>
    <n v="5.41"/>
    <n v="15"/>
    <n v="2.97"/>
    <x v="0"/>
  </r>
  <r>
    <x v="0"/>
    <s v="四條畷市"/>
    <x v="61"/>
    <x v="13"/>
    <n v="50"/>
    <n v="4.3899999999999997"/>
    <n v="20"/>
    <n v="3.18"/>
    <n v="29"/>
    <n v="5.74"/>
    <x v="0"/>
  </r>
  <r>
    <x v="0"/>
    <s v="四條畷市"/>
    <x v="61"/>
    <x v="14"/>
    <n v="32"/>
    <n v="2.81"/>
    <n v="11"/>
    <n v="1.75"/>
    <n v="20"/>
    <n v="3.96"/>
    <x v="18"/>
  </r>
  <r>
    <x v="0"/>
    <s v="交野市"/>
    <x v="62"/>
    <x v="0"/>
    <n v="0"/>
    <n v="0"/>
    <n v="0"/>
    <n v="0"/>
    <n v="0"/>
    <n v="0"/>
    <x v="0"/>
  </r>
  <r>
    <x v="0"/>
    <s v="交野市"/>
    <x v="62"/>
    <x v="1"/>
    <n v="180"/>
    <n v="15.8"/>
    <n v="56"/>
    <n v="9.26"/>
    <n v="124"/>
    <n v="23.48"/>
    <x v="0"/>
  </r>
  <r>
    <x v="0"/>
    <s v="交野市"/>
    <x v="62"/>
    <x v="2"/>
    <n v="89"/>
    <n v="7.81"/>
    <n v="22"/>
    <n v="3.64"/>
    <n v="67"/>
    <n v="12.69"/>
    <x v="0"/>
  </r>
  <r>
    <x v="0"/>
    <s v="交野市"/>
    <x v="62"/>
    <x v="3"/>
    <n v="2"/>
    <n v="0.18"/>
    <n v="0"/>
    <n v="0"/>
    <n v="2"/>
    <n v="0.38"/>
    <x v="0"/>
  </r>
  <r>
    <x v="0"/>
    <s v="交野市"/>
    <x v="62"/>
    <x v="4"/>
    <n v="13"/>
    <n v="1.1399999999999999"/>
    <n v="1"/>
    <n v="0.17"/>
    <n v="12"/>
    <n v="2.27"/>
    <x v="0"/>
  </r>
  <r>
    <x v="0"/>
    <s v="交野市"/>
    <x v="62"/>
    <x v="5"/>
    <n v="13"/>
    <n v="1.1399999999999999"/>
    <n v="3"/>
    <n v="0.5"/>
    <n v="10"/>
    <n v="1.89"/>
    <x v="0"/>
  </r>
  <r>
    <x v="0"/>
    <s v="交野市"/>
    <x v="62"/>
    <x v="6"/>
    <n v="219"/>
    <n v="19.23"/>
    <n v="130"/>
    <n v="21.49"/>
    <n v="89"/>
    <n v="16.86"/>
    <x v="0"/>
  </r>
  <r>
    <x v="0"/>
    <s v="交野市"/>
    <x v="62"/>
    <x v="7"/>
    <n v="6"/>
    <n v="0.53"/>
    <n v="0"/>
    <n v="0"/>
    <n v="6"/>
    <n v="1.1399999999999999"/>
    <x v="0"/>
  </r>
  <r>
    <x v="0"/>
    <s v="交野市"/>
    <x v="62"/>
    <x v="8"/>
    <n v="113"/>
    <n v="9.92"/>
    <n v="26"/>
    <n v="4.3"/>
    <n v="87"/>
    <n v="16.48"/>
    <x v="0"/>
  </r>
  <r>
    <x v="0"/>
    <s v="交野市"/>
    <x v="62"/>
    <x v="9"/>
    <n v="67"/>
    <n v="5.88"/>
    <n v="39"/>
    <n v="6.45"/>
    <n v="28"/>
    <n v="5.3"/>
    <x v="0"/>
  </r>
  <r>
    <x v="0"/>
    <s v="交野市"/>
    <x v="62"/>
    <x v="10"/>
    <n v="106"/>
    <n v="9.31"/>
    <n v="85"/>
    <n v="14.05"/>
    <n v="21"/>
    <n v="3.98"/>
    <x v="0"/>
  </r>
  <r>
    <x v="0"/>
    <s v="交野市"/>
    <x v="62"/>
    <x v="11"/>
    <n v="126"/>
    <n v="11.06"/>
    <n v="104"/>
    <n v="17.190000000000001"/>
    <n v="22"/>
    <n v="4.17"/>
    <x v="0"/>
  </r>
  <r>
    <x v="0"/>
    <s v="交野市"/>
    <x v="62"/>
    <x v="12"/>
    <n v="87"/>
    <n v="7.64"/>
    <n v="65"/>
    <n v="10.74"/>
    <n v="19"/>
    <n v="3.6"/>
    <x v="0"/>
  </r>
  <r>
    <x v="0"/>
    <s v="交野市"/>
    <x v="62"/>
    <x v="13"/>
    <n v="77"/>
    <n v="6.76"/>
    <n v="55"/>
    <n v="9.09"/>
    <n v="22"/>
    <n v="4.17"/>
    <x v="0"/>
  </r>
  <r>
    <x v="0"/>
    <s v="交野市"/>
    <x v="62"/>
    <x v="14"/>
    <n v="41"/>
    <n v="3.6"/>
    <n v="19"/>
    <n v="3.14"/>
    <n v="19"/>
    <n v="3.6"/>
    <x v="12"/>
  </r>
  <r>
    <x v="0"/>
    <s v="大阪狭山市"/>
    <x v="63"/>
    <x v="0"/>
    <n v="0"/>
    <n v="0"/>
    <n v="0"/>
    <n v="0"/>
    <n v="0"/>
    <n v="0"/>
    <x v="0"/>
  </r>
  <r>
    <x v="0"/>
    <s v="大阪狭山市"/>
    <x v="63"/>
    <x v="1"/>
    <n v="123"/>
    <n v="11.65"/>
    <n v="30"/>
    <n v="5.29"/>
    <n v="93"/>
    <n v="19.14"/>
    <x v="0"/>
  </r>
  <r>
    <x v="0"/>
    <s v="大阪狭山市"/>
    <x v="63"/>
    <x v="2"/>
    <n v="90"/>
    <n v="8.52"/>
    <n v="40"/>
    <n v="7.05"/>
    <n v="50"/>
    <n v="10.29"/>
    <x v="0"/>
  </r>
  <r>
    <x v="0"/>
    <s v="大阪狭山市"/>
    <x v="63"/>
    <x v="3"/>
    <n v="0"/>
    <n v="0"/>
    <n v="0"/>
    <n v="0"/>
    <n v="0"/>
    <n v="0"/>
    <x v="0"/>
  </r>
  <r>
    <x v="0"/>
    <s v="大阪狭山市"/>
    <x v="63"/>
    <x v="4"/>
    <n v="2"/>
    <n v="0.19"/>
    <n v="1"/>
    <n v="0.18"/>
    <n v="1"/>
    <n v="0.21"/>
    <x v="0"/>
  </r>
  <r>
    <x v="0"/>
    <s v="大阪狭山市"/>
    <x v="63"/>
    <x v="5"/>
    <n v="9"/>
    <n v="0.85"/>
    <n v="2"/>
    <n v="0.35"/>
    <n v="7"/>
    <n v="1.44"/>
    <x v="0"/>
  </r>
  <r>
    <x v="0"/>
    <s v="大阪狭山市"/>
    <x v="63"/>
    <x v="6"/>
    <n v="212"/>
    <n v="20.079999999999998"/>
    <n v="107"/>
    <n v="18.87"/>
    <n v="105"/>
    <n v="21.6"/>
    <x v="0"/>
  </r>
  <r>
    <x v="0"/>
    <s v="大阪狭山市"/>
    <x v="63"/>
    <x v="7"/>
    <n v="3"/>
    <n v="0.28000000000000003"/>
    <n v="1"/>
    <n v="0.18"/>
    <n v="2"/>
    <n v="0.41"/>
    <x v="0"/>
  </r>
  <r>
    <x v="0"/>
    <s v="大阪狭山市"/>
    <x v="63"/>
    <x v="8"/>
    <n v="159"/>
    <n v="15.06"/>
    <n v="54"/>
    <n v="9.52"/>
    <n v="105"/>
    <n v="21.6"/>
    <x v="0"/>
  </r>
  <r>
    <x v="0"/>
    <s v="大阪狭山市"/>
    <x v="63"/>
    <x v="9"/>
    <n v="46"/>
    <n v="4.3600000000000003"/>
    <n v="22"/>
    <n v="3.88"/>
    <n v="24"/>
    <n v="4.9400000000000004"/>
    <x v="0"/>
  </r>
  <r>
    <x v="0"/>
    <s v="大阪狭山市"/>
    <x v="63"/>
    <x v="10"/>
    <n v="96"/>
    <n v="9.09"/>
    <n v="87"/>
    <n v="15.34"/>
    <n v="9"/>
    <n v="1.85"/>
    <x v="0"/>
  </r>
  <r>
    <x v="0"/>
    <s v="大阪狭山市"/>
    <x v="63"/>
    <x v="11"/>
    <n v="139"/>
    <n v="13.16"/>
    <n v="105"/>
    <n v="18.52"/>
    <n v="34"/>
    <n v="7"/>
    <x v="0"/>
  </r>
  <r>
    <x v="0"/>
    <s v="大阪狭山市"/>
    <x v="63"/>
    <x v="12"/>
    <n v="61"/>
    <n v="5.78"/>
    <n v="46"/>
    <n v="8.11"/>
    <n v="12"/>
    <n v="2.4700000000000002"/>
    <x v="0"/>
  </r>
  <r>
    <x v="0"/>
    <s v="大阪狭山市"/>
    <x v="63"/>
    <x v="13"/>
    <n v="82"/>
    <n v="7.77"/>
    <n v="52"/>
    <n v="9.17"/>
    <n v="30"/>
    <n v="6.17"/>
    <x v="0"/>
  </r>
  <r>
    <x v="0"/>
    <s v="大阪狭山市"/>
    <x v="63"/>
    <x v="14"/>
    <n v="34"/>
    <n v="3.22"/>
    <n v="20"/>
    <n v="3.53"/>
    <n v="14"/>
    <n v="2.88"/>
    <x v="0"/>
  </r>
  <r>
    <x v="0"/>
    <s v="阪南市"/>
    <x v="64"/>
    <x v="0"/>
    <n v="1"/>
    <n v="0.11"/>
    <n v="0"/>
    <n v="0"/>
    <n v="1"/>
    <n v="0.28000000000000003"/>
    <x v="0"/>
  </r>
  <r>
    <x v="0"/>
    <s v="阪南市"/>
    <x v="64"/>
    <x v="1"/>
    <n v="151"/>
    <n v="16.36"/>
    <n v="46"/>
    <n v="8.1999999999999993"/>
    <n v="105"/>
    <n v="29.17"/>
    <x v="0"/>
  </r>
  <r>
    <x v="0"/>
    <s v="阪南市"/>
    <x v="64"/>
    <x v="2"/>
    <n v="73"/>
    <n v="7.91"/>
    <n v="35"/>
    <n v="6.24"/>
    <n v="38"/>
    <n v="10.56"/>
    <x v="0"/>
  </r>
  <r>
    <x v="0"/>
    <s v="阪南市"/>
    <x v="64"/>
    <x v="3"/>
    <n v="0"/>
    <n v="0"/>
    <n v="0"/>
    <n v="0"/>
    <n v="0"/>
    <n v="0"/>
    <x v="0"/>
  </r>
  <r>
    <x v="0"/>
    <s v="阪南市"/>
    <x v="64"/>
    <x v="4"/>
    <n v="9"/>
    <n v="0.98"/>
    <n v="0"/>
    <n v="0"/>
    <n v="9"/>
    <n v="2.5"/>
    <x v="0"/>
  </r>
  <r>
    <x v="0"/>
    <s v="阪南市"/>
    <x v="64"/>
    <x v="5"/>
    <n v="6"/>
    <n v="0.65"/>
    <n v="2"/>
    <n v="0.36"/>
    <n v="4"/>
    <n v="1.1100000000000001"/>
    <x v="0"/>
  </r>
  <r>
    <x v="0"/>
    <s v="阪南市"/>
    <x v="64"/>
    <x v="6"/>
    <n v="204"/>
    <n v="22.1"/>
    <n v="134"/>
    <n v="23.89"/>
    <n v="70"/>
    <n v="19.440000000000001"/>
    <x v="0"/>
  </r>
  <r>
    <x v="0"/>
    <s v="阪南市"/>
    <x v="64"/>
    <x v="7"/>
    <n v="8"/>
    <n v="0.87"/>
    <n v="5"/>
    <n v="0.89"/>
    <n v="3"/>
    <n v="0.83"/>
    <x v="0"/>
  </r>
  <r>
    <x v="0"/>
    <s v="阪南市"/>
    <x v="64"/>
    <x v="8"/>
    <n v="84"/>
    <n v="9.1"/>
    <n v="47"/>
    <n v="8.3800000000000008"/>
    <n v="37"/>
    <n v="10.28"/>
    <x v="0"/>
  </r>
  <r>
    <x v="0"/>
    <s v="阪南市"/>
    <x v="64"/>
    <x v="9"/>
    <n v="48"/>
    <n v="5.2"/>
    <n v="26"/>
    <n v="4.63"/>
    <n v="22"/>
    <n v="6.11"/>
    <x v="0"/>
  </r>
  <r>
    <x v="0"/>
    <s v="阪南市"/>
    <x v="64"/>
    <x v="10"/>
    <n v="77"/>
    <n v="8.34"/>
    <n v="70"/>
    <n v="12.48"/>
    <n v="7"/>
    <n v="1.94"/>
    <x v="0"/>
  </r>
  <r>
    <x v="0"/>
    <s v="阪南市"/>
    <x v="64"/>
    <x v="11"/>
    <n v="129"/>
    <n v="13.98"/>
    <n v="104"/>
    <n v="18.54"/>
    <n v="25"/>
    <n v="6.94"/>
    <x v="0"/>
  </r>
  <r>
    <x v="0"/>
    <s v="阪南市"/>
    <x v="64"/>
    <x v="12"/>
    <n v="43"/>
    <n v="4.66"/>
    <n v="36"/>
    <n v="6.42"/>
    <n v="6"/>
    <n v="1.67"/>
    <x v="0"/>
  </r>
  <r>
    <x v="0"/>
    <s v="阪南市"/>
    <x v="64"/>
    <x v="13"/>
    <n v="57"/>
    <n v="6.18"/>
    <n v="38"/>
    <n v="6.77"/>
    <n v="18"/>
    <n v="5"/>
    <x v="0"/>
  </r>
  <r>
    <x v="0"/>
    <s v="阪南市"/>
    <x v="64"/>
    <x v="14"/>
    <n v="33"/>
    <n v="3.58"/>
    <n v="18"/>
    <n v="3.21"/>
    <n v="15"/>
    <n v="4.17"/>
    <x v="0"/>
  </r>
  <r>
    <x v="0"/>
    <s v="三島郡島本町"/>
    <x v="65"/>
    <x v="0"/>
    <n v="0"/>
    <n v="0"/>
    <n v="0"/>
    <n v="0"/>
    <n v="0"/>
    <n v="0"/>
    <x v="0"/>
  </r>
  <r>
    <x v="0"/>
    <s v="三島郡島本町"/>
    <x v="65"/>
    <x v="1"/>
    <n v="47"/>
    <n v="13.58"/>
    <n v="8"/>
    <n v="4.62"/>
    <n v="39"/>
    <n v="22.94"/>
    <x v="0"/>
  </r>
  <r>
    <x v="0"/>
    <s v="三島郡島本町"/>
    <x v="65"/>
    <x v="2"/>
    <n v="17"/>
    <n v="4.91"/>
    <n v="1"/>
    <n v="0.57999999999999996"/>
    <n v="16"/>
    <n v="9.41"/>
    <x v="0"/>
  </r>
  <r>
    <x v="0"/>
    <s v="三島郡島本町"/>
    <x v="65"/>
    <x v="3"/>
    <n v="0"/>
    <n v="0"/>
    <n v="0"/>
    <n v="0"/>
    <n v="0"/>
    <n v="0"/>
    <x v="0"/>
  </r>
  <r>
    <x v="0"/>
    <s v="三島郡島本町"/>
    <x v="65"/>
    <x v="4"/>
    <n v="5"/>
    <n v="1.45"/>
    <n v="0"/>
    <n v="0"/>
    <n v="5"/>
    <n v="2.94"/>
    <x v="0"/>
  </r>
  <r>
    <x v="0"/>
    <s v="三島郡島本町"/>
    <x v="65"/>
    <x v="5"/>
    <n v="5"/>
    <n v="1.45"/>
    <n v="1"/>
    <n v="0.57999999999999996"/>
    <n v="4"/>
    <n v="2.35"/>
    <x v="0"/>
  </r>
  <r>
    <x v="0"/>
    <s v="三島郡島本町"/>
    <x v="65"/>
    <x v="6"/>
    <n v="73"/>
    <n v="21.1"/>
    <n v="41"/>
    <n v="23.7"/>
    <n v="32"/>
    <n v="18.82"/>
    <x v="0"/>
  </r>
  <r>
    <x v="0"/>
    <s v="三島郡島本町"/>
    <x v="65"/>
    <x v="7"/>
    <n v="1"/>
    <n v="0.28999999999999998"/>
    <n v="1"/>
    <n v="0.57999999999999996"/>
    <n v="0"/>
    <n v="0"/>
    <x v="0"/>
  </r>
  <r>
    <x v="0"/>
    <s v="三島郡島本町"/>
    <x v="65"/>
    <x v="8"/>
    <n v="32"/>
    <n v="9.25"/>
    <n v="11"/>
    <n v="6.36"/>
    <n v="21"/>
    <n v="12.35"/>
    <x v="0"/>
  </r>
  <r>
    <x v="0"/>
    <s v="三島郡島本町"/>
    <x v="65"/>
    <x v="9"/>
    <n v="18"/>
    <n v="5.2"/>
    <n v="7"/>
    <n v="4.05"/>
    <n v="11"/>
    <n v="6.47"/>
    <x v="0"/>
  </r>
  <r>
    <x v="0"/>
    <s v="三島郡島本町"/>
    <x v="65"/>
    <x v="10"/>
    <n v="31"/>
    <n v="8.9600000000000009"/>
    <n v="26"/>
    <n v="15.03"/>
    <n v="5"/>
    <n v="2.94"/>
    <x v="0"/>
  </r>
  <r>
    <x v="0"/>
    <s v="三島郡島本町"/>
    <x v="65"/>
    <x v="11"/>
    <n v="50"/>
    <n v="14.45"/>
    <n v="37"/>
    <n v="21.39"/>
    <n v="13"/>
    <n v="7.65"/>
    <x v="0"/>
  </r>
  <r>
    <x v="0"/>
    <s v="三島郡島本町"/>
    <x v="65"/>
    <x v="12"/>
    <n v="28"/>
    <n v="8.09"/>
    <n v="22"/>
    <n v="12.72"/>
    <n v="5"/>
    <n v="2.94"/>
    <x v="0"/>
  </r>
  <r>
    <x v="0"/>
    <s v="三島郡島本町"/>
    <x v="65"/>
    <x v="13"/>
    <n v="28"/>
    <n v="8.09"/>
    <n v="15"/>
    <n v="8.67"/>
    <n v="12"/>
    <n v="7.06"/>
    <x v="18"/>
  </r>
  <r>
    <x v="0"/>
    <s v="三島郡島本町"/>
    <x v="65"/>
    <x v="14"/>
    <n v="11"/>
    <n v="3.18"/>
    <n v="3"/>
    <n v="1.73"/>
    <n v="7"/>
    <n v="4.12"/>
    <x v="0"/>
  </r>
  <r>
    <x v="0"/>
    <s v="豊能郡豊能町"/>
    <x v="66"/>
    <x v="0"/>
    <n v="0"/>
    <n v="0"/>
    <n v="0"/>
    <n v="0"/>
    <n v="0"/>
    <n v="0"/>
    <x v="0"/>
  </r>
  <r>
    <x v="0"/>
    <s v="豊能郡豊能町"/>
    <x v="66"/>
    <x v="1"/>
    <n v="50"/>
    <n v="20"/>
    <n v="20"/>
    <n v="16.670000000000002"/>
    <n v="30"/>
    <n v="24.79"/>
    <x v="0"/>
  </r>
  <r>
    <x v="0"/>
    <s v="豊能郡豊能町"/>
    <x v="66"/>
    <x v="2"/>
    <n v="17"/>
    <n v="6.8"/>
    <n v="5"/>
    <n v="4.17"/>
    <n v="12"/>
    <n v="9.92"/>
    <x v="0"/>
  </r>
  <r>
    <x v="0"/>
    <s v="豊能郡豊能町"/>
    <x v="66"/>
    <x v="3"/>
    <n v="0"/>
    <n v="0"/>
    <n v="0"/>
    <n v="0"/>
    <n v="0"/>
    <n v="0"/>
    <x v="0"/>
  </r>
  <r>
    <x v="0"/>
    <s v="豊能郡豊能町"/>
    <x v="66"/>
    <x v="4"/>
    <n v="4"/>
    <n v="1.6"/>
    <n v="0"/>
    <n v="0"/>
    <n v="4"/>
    <n v="3.31"/>
    <x v="0"/>
  </r>
  <r>
    <x v="0"/>
    <s v="豊能郡豊能町"/>
    <x v="66"/>
    <x v="5"/>
    <n v="8"/>
    <n v="3.2"/>
    <n v="2"/>
    <n v="1.67"/>
    <n v="6"/>
    <n v="4.96"/>
    <x v="0"/>
  </r>
  <r>
    <x v="0"/>
    <s v="豊能郡豊能町"/>
    <x v="66"/>
    <x v="6"/>
    <n v="51"/>
    <n v="20.399999999999999"/>
    <n v="28"/>
    <n v="23.33"/>
    <n v="23"/>
    <n v="19.010000000000002"/>
    <x v="0"/>
  </r>
  <r>
    <x v="0"/>
    <s v="豊能郡豊能町"/>
    <x v="66"/>
    <x v="7"/>
    <n v="2"/>
    <n v="0.8"/>
    <n v="0"/>
    <n v="0"/>
    <n v="2"/>
    <n v="1.65"/>
    <x v="0"/>
  </r>
  <r>
    <x v="0"/>
    <s v="豊能郡豊能町"/>
    <x v="66"/>
    <x v="8"/>
    <n v="11"/>
    <n v="4.4000000000000004"/>
    <n v="4"/>
    <n v="3.33"/>
    <n v="7"/>
    <n v="5.79"/>
    <x v="0"/>
  </r>
  <r>
    <x v="0"/>
    <s v="豊能郡豊能町"/>
    <x v="66"/>
    <x v="9"/>
    <n v="22"/>
    <n v="8.8000000000000007"/>
    <n v="9"/>
    <n v="7.5"/>
    <n v="13"/>
    <n v="10.74"/>
    <x v="0"/>
  </r>
  <r>
    <x v="0"/>
    <s v="豊能郡豊能町"/>
    <x v="66"/>
    <x v="10"/>
    <n v="16"/>
    <n v="6.4"/>
    <n v="14"/>
    <n v="11.67"/>
    <n v="2"/>
    <n v="1.65"/>
    <x v="0"/>
  </r>
  <r>
    <x v="0"/>
    <s v="豊能郡豊能町"/>
    <x v="66"/>
    <x v="11"/>
    <n v="28"/>
    <n v="11.2"/>
    <n v="23"/>
    <n v="19.170000000000002"/>
    <n v="4"/>
    <n v="3.31"/>
    <x v="0"/>
  </r>
  <r>
    <x v="0"/>
    <s v="豊能郡豊能町"/>
    <x v="66"/>
    <x v="12"/>
    <n v="12"/>
    <n v="4.8"/>
    <n v="4"/>
    <n v="3.33"/>
    <n v="6"/>
    <n v="4.96"/>
    <x v="18"/>
  </r>
  <r>
    <x v="0"/>
    <s v="豊能郡豊能町"/>
    <x v="66"/>
    <x v="13"/>
    <n v="15"/>
    <n v="6"/>
    <n v="9"/>
    <n v="7.5"/>
    <n v="2"/>
    <n v="1.65"/>
    <x v="0"/>
  </r>
  <r>
    <x v="0"/>
    <s v="豊能郡豊能町"/>
    <x v="66"/>
    <x v="14"/>
    <n v="14"/>
    <n v="5.6"/>
    <n v="2"/>
    <n v="1.67"/>
    <n v="10"/>
    <n v="8.26"/>
    <x v="0"/>
  </r>
  <r>
    <x v="0"/>
    <s v="豊能郡能勢町"/>
    <x v="67"/>
    <x v="0"/>
    <n v="0"/>
    <n v="0"/>
    <n v="0"/>
    <n v="0"/>
    <n v="0"/>
    <n v="0"/>
    <x v="0"/>
  </r>
  <r>
    <x v="0"/>
    <s v="豊能郡能勢町"/>
    <x v="67"/>
    <x v="1"/>
    <n v="39"/>
    <n v="21.08"/>
    <n v="20"/>
    <n v="19.23"/>
    <n v="19"/>
    <n v="25"/>
    <x v="0"/>
  </r>
  <r>
    <x v="0"/>
    <s v="豊能郡能勢町"/>
    <x v="67"/>
    <x v="2"/>
    <n v="33"/>
    <n v="17.84"/>
    <n v="18"/>
    <n v="17.309999999999999"/>
    <n v="15"/>
    <n v="19.739999999999998"/>
    <x v="0"/>
  </r>
  <r>
    <x v="0"/>
    <s v="豊能郡能勢町"/>
    <x v="67"/>
    <x v="3"/>
    <n v="1"/>
    <n v="0.54"/>
    <n v="0"/>
    <n v="0"/>
    <n v="0"/>
    <n v="0"/>
    <x v="0"/>
  </r>
  <r>
    <x v="0"/>
    <s v="豊能郡能勢町"/>
    <x v="67"/>
    <x v="4"/>
    <n v="2"/>
    <n v="1.08"/>
    <n v="0"/>
    <n v="0"/>
    <n v="2"/>
    <n v="2.63"/>
    <x v="0"/>
  </r>
  <r>
    <x v="0"/>
    <s v="豊能郡能勢町"/>
    <x v="67"/>
    <x v="5"/>
    <n v="3"/>
    <n v="1.62"/>
    <n v="0"/>
    <n v="0"/>
    <n v="3"/>
    <n v="3.95"/>
    <x v="0"/>
  </r>
  <r>
    <x v="0"/>
    <s v="豊能郡能勢町"/>
    <x v="67"/>
    <x v="6"/>
    <n v="50"/>
    <n v="27.03"/>
    <n v="30"/>
    <n v="28.85"/>
    <n v="20"/>
    <n v="26.32"/>
    <x v="0"/>
  </r>
  <r>
    <x v="0"/>
    <s v="豊能郡能勢町"/>
    <x v="67"/>
    <x v="7"/>
    <n v="1"/>
    <n v="0.54"/>
    <n v="0"/>
    <n v="0"/>
    <n v="1"/>
    <n v="1.32"/>
    <x v="0"/>
  </r>
  <r>
    <x v="0"/>
    <s v="豊能郡能勢町"/>
    <x v="67"/>
    <x v="8"/>
    <n v="5"/>
    <n v="2.7"/>
    <n v="1"/>
    <n v="0.96"/>
    <n v="4"/>
    <n v="5.26"/>
    <x v="0"/>
  </r>
  <r>
    <x v="0"/>
    <s v="豊能郡能勢町"/>
    <x v="67"/>
    <x v="9"/>
    <n v="2"/>
    <n v="1.08"/>
    <n v="0"/>
    <n v="0"/>
    <n v="2"/>
    <n v="2.63"/>
    <x v="0"/>
  </r>
  <r>
    <x v="0"/>
    <s v="豊能郡能勢町"/>
    <x v="67"/>
    <x v="10"/>
    <n v="16"/>
    <n v="8.65"/>
    <n v="12"/>
    <n v="11.54"/>
    <n v="4"/>
    <n v="5.26"/>
    <x v="0"/>
  </r>
  <r>
    <x v="0"/>
    <s v="豊能郡能勢町"/>
    <x v="67"/>
    <x v="11"/>
    <n v="13"/>
    <n v="7.03"/>
    <n v="12"/>
    <n v="11.54"/>
    <n v="0"/>
    <n v="0"/>
    <x v="0"/>
  </r>
  <r>
    <x v="0"/>
    <s v="豊能郡能勢町"/>
    <x v="67"/>
    <x v="12"/>
    <n v="1"/>
    <n v="0.54"/>
    <n v="1"/>
    <n v="0.96"/>
    <n v="0"/>
    <n v="0"/>
    <x v="0"/>
  </r>
  <r>
    <x v="0"/>
    <s v="豊能郡能勢町"/>
    <x v="67"/>
    <x v="13"/>
    <n v="6"/>
    <n v="3.24"/>
    <n v="3"/>
    <n v="2.88"/>
    <n v="2"/>
    <n v="2.63"/>
    <x v="0"/>
  </r>
  <r>
    <x v="0"/>
    <s v="豊能郡能勢町"/>
    <x v="67"/>
    <x v="14"/>
    <n v="13"/>
    <n v="7.03"/>
    <n v="7"/>
    <n v="6.73"/>
    <n v="4"/>
    <n v="5.26"/>
    <x v="0"/>
  </r>
  <r>
    <x v="0"/>
    <s v="泉北郡忠岡町"/>
    <x v="68"/>
    <x v="0"/>
    <n v="0"/>
    <n v="0"/>
    <n v="0"/>
    <n v="0"/>
    <n v="0"/>
    <n v="0"/>
    <x v="0"/>
  </r>
  <r>
    <x v="0"/>
    <s v="泉北郡忠岡町"/>
    <x v="68"/>
    <x v="1"/>
    <n v="41"/>
    <n v="11.95"/>
    <n v="7"/>
    <n v="3.91"/>
    <n v="34"/>
    <n v="21.12"/>
    <x v="0"/>
  </r>
  <r>
    <x v="0"/>
    <s v="泉北郡忠岡町"/>
    <x v="68"/>
    <x v="2"/>
    <n v="67"/>
    <n v="19.53"/>
    <n v="25"/>
    <n v="13.97"/>
    <n v="42"/>
    <n v="26.09"/>
    <x v="0"/>
  </r>
  <r>
    <x v="0"/>
    <s v="泉北郡忠岡町"/>
    <x v="68"/>
    <x v="3"/>
    <n v="0"/>
    <n v="0"/>
    <n v="0"/>
    <n v="0"/>
    <n v="0"/>
    <n v="0"/>
    <x v="0"/>
  </r>
  <r>
    <x v="0"/>
    <s v="泉北郡忠岡町"/>
    <x v="68"/>
    <x v="4"/>
    <n v="1"/>
    <n v="0.28999999999999998"/>
    <n v="0"/>
    <n v="0"/>
    <n v="1"/>
    <n v="0.62"/>
    <x v="0"/>
  </r>
  <r>
    <x v="0"/>
    <s v="泉北郡忠岡町"/>
    <x v="68"/>
    <x v="5"/>
    <n v="4"/>
    <n v="1.17"/>
    <n v="0"/>
    <n v="0"/>
    <n v="4"/>
    <n v="2.48"/>
    <x v="0"/>
  </r>
  <r>
    <x v="0"/>
    <s v="泉北郡忠岡町"/>
    <x v="68"/>
    <x v="6"/>
    <n v="83"/>
    <n v="24.2"/>
    <n v="51"/>
    <n v="28.49"/>
    <n v="32"/>
    <n v="19.88"/>
    <x v="0"/>
  </r>
  <r>
    <x v="0"/>
    <s v="泉北郡忠岡町"/>
    <x v="68"/>
    <x v="7"/>
    <n v="1"/>
    <n v="0.28999999999999998"/>
    <n v="1"/>
    <n v="0.56000000000000005"/>
    <n v="0"/>
    <n v="0"/>
    <x v="0"/>
  </r>
  <r>
    <x v="0"/>
    <s v="泉北郡忠岡町"/>
    <x v="68"/>
    <x v="8"/>
    <n v="29"/>
    <n v="8.4499999999999993"/>
    <n v="4"/>
    <n v="2.23"/>
    <n v="25"/>
    <n v="15.53"/>
    <x v="0"/>
  </r>
  <r>
    <x v="0"/>
    <s v="泉北郡忠岡町"/>
    <x v="68"/>
    <x v="9"/>
    <n v="7"/>
    <n v="2.04"/>
    <n v="4"/>
    <n v="2.23"/>
    <n v="3"/>
    <n v="1.86"/>
    <x v="0"/>
  </r>
  <r>
    <x v="0"/>
    <s v="泉北郡忠岡町"/>
    <x v="68"/>
    <x v="10"/>
    <n v="34"/>
    <n v="9.91"/>
    <n v="33"/>
    <n v="18.440000000000001"/>
    <n v="1"/>
    <n v="0.62"/>
    <x v="0"/>
  </r>
  <r>
    <x v="0"/>
    <s v="泉北郡忠岡町"/>
    <x v="68"/>
    <x v="11"/>
    <n v="31"/>
    <n v="9.0399999999999991"/>
    <n v="28"/>
    <n v="15.64"/>
    <n v="3"/>
    <n v="1.86"/>
    <x v="0"/>
  </r>
  <r>
    <x v="0"/>
    <s v="泉北郡忠岡町"/>
    <x v="68"/>
    <x v="12"/>
    <n v="8"/>
    <n v="2.33"/>
    <n v="3"/>
    <n v="1.68"/>
    <n v="3"/>
    <n v="1.86"/>
    <x v="0"/>
  </r>
  <r>
    <x v="0"/>
    <s v="泉北郡忠岡町"/>
    <x v="68"/>
    <x v="13"/>
    <n v="25"/>
    <n v="7.29"/>
    <n v="15"/>
    <n v="8.3800000000000008"/>
    <n v="9"/>
    <n v="5.59"/>
    <x v="0"/>
  </r>
  <r>
    <x v="0"/>
    <s v="泉北郡忠岡町"/>
    <x v="68"/>
    <x v="14"/>
    <n v="12"/>
    <n v="3.5"/>
    <n v="8"/>
    <n v="4.47"/>
    <n v="4"/>
    <n v="2.48"/>
    <x v="0"/>
  </r>
  <r>
    <x v="0"/>
    <s v="泉南郡熊取町"/>
    <x v="69"/>
    <x v="0"/>
    <n v="0"/>
    <n v="0"/>
    <n v="0"/>
    <n v="0"/>
    <n v="0"/>
    <n v="0"/>
    <x v="0"/>
  </r>
  <r>
    <x v="0"/>
    <s v="泉南郡熊取町"/>
    <x v="69"/>
    <x v="1"/>
    <n v="111"/>
    <n v="14.53"/>
    <n v="42"/>
    <n v="8.92"/>
    <n v="69"/>
    <n v="24.13"/>
    <x v="0"/>
  </r>
  <r>
    <x v="0"/>
    <s v="泉南郡熊取町"/>
    <x v="69"/>
    <x v="2"/>
    <n v="78"/>
    <n v="10.210000000000001"/>
    <n v="44"/>
    <n v="9.34"/>
    <n v="34"/>
    <n v="11.89"/>
    <x v="0"/>
  </r>
  <r>
    <x v="0"/>
    <s v="泉南郡熊取町"/>
    <x v="69"/>
    <x v="3"/>
    <n v="1"/>
    <n v="0.13"/>
    <n v="0"/>
    <n v="0"/>
    <n v="1"/>
    <n v="0.35"/>
    <x v="0"/>
  </r>
  <r>
    <x v="0"/>
    <s v="泉南郡熊取町"/>
    <x v="69"/>
    <x v="4"/>
    <n v="1"/>
    <n v="0.13"/>
    <n v="0"/>
    <n v="0"/>
    <n v="1"/>
    <n v="0.35"/>
    <x v="0"/>
  </r>
  <r>
    <x v="0"/>
    <s v="泉南郡熊取町"/>
    <x v="69"/>
    <x v="5"/>
    <n v="5"/>
    <n v="0.65"/>
    <n v="1"/>
    <n v="0.21"/>
    <n v="4"/>
    <n v="1.4"/>
    <x v="0"/>
  </r>
  <r>
    <x v="0"/>
    <s v="泉南郡熊取町"/>
    <x v="69"/>
    <x v="6"/>
    <n v="153"/>
    <n v="20.03"/>
    <n v="99"/>
    <n v="21.02"/>
    <n v="53"/>
    <n v="18.53"/>
    <x v="18"/>
  </r>
  <r>
    <x v="0"/>
    <s v="泉南郡熊取町"/>
    <x v="69"/>
    <x v="7"/>
    <n v="3"/>
    <n v="0.39"/>
    <n v="1"/>
    <n v="0.21"/>
    <n v="2"/>
    <n v="0.7"/>
    <x v="0"/>
  </r>
  <r>
    <x v="0"/>
    <s v="泉南郡熊取町"/>
    <x v="69"/>
    <x v="8"/>
    <n v="101"/>
    <n v="13.22"/>
    <n v="51"/>
    <n v="10.83"/>
    <n v="50"/>
    <n v="17.48"/>
    <x v="0"/>
  </r>
  <r>
    <x v="0"/>
    <s v="泉南郡熊取町"/>
    <x v="69"/>
    <x v="9"/>
    <n v="31"/>
    <n v="4.0599999999999996"/>
    <n v="19"/>
    <n v="4.03"/>
    <n v="12"/>
    <n v="4.2"/>
    <x v="0"/>
  </r>
  <r>
    <x v="0"/>
    <s v="泉南郡熊取町"/>
    <x v="69"/>
    <x v="10"/>
    <n v="71"/>
    <n v="9.2899999999999991"/>
    <n v="65"/>
    <n v="13.8"/>
    <n v="6"/>
    <n v="2.1"/>
    <x v="0"/>
  </r>
  <r>
    <x v="0"/>
    <s v="泉南郡熊取町"/>
    <x v="69"/>
    <x v="11"/>
    <n v="88"/>
    <n v="11.52"/>
    <n v="77"/>
    <n v="16.350000000000001"/>
    <n v="10"/>
    <n v="3.5"/>
    <x v="0"/>
  </r>
  <r>
    <x v="0"/>
    <s v="泉南郡熊取町"/>
    <x v="69"/>
    <x v="12"/>
    <n v="49"/>
    <n v="6.41"/>
    <n v="40"/>
    <n v="8.49"/>
    <n v="7"/>
    <n v="2.4500000000000002"/>
    <x v="0"/>
  </r>
  <r>
    <x v="0"/>
    <s v="泉南郡熊取町"/>
    <x v="69"/>
    <x v="13"/>
    <n v="49"/>
    <n v="6.41"/>
    <n v="18"/>
    <n v="3.82"/>
    <n v="30"/>
    <n v="10.49"/>
    <x v="0"/>
  </r>
  <r>
    <x v="0"/>
    <s v="泉南郡熊取町"/>
    <x v="69"/>
    <x v="14"/>
    <n v="23"/>
    <n v="3.01"/>
    <n v="14"/>
    <n v="2.97"/>
    <n v="7"/>
    <n v="2.4500000000000002"/>
    <x v="18"/>
  </r>
  <r>
    <x v="0"/>
    <s v="泉南郡田尻町"/>
    <x v="70"/>
    <x v="0"/>
    <n v="0"/>
    <n v="0"/>
    <n v="0"/>
    <n v="0"/>
    <n v="0"/>
    <n v="0"/>
    <x v="0"/>
  </r>
  <r>
    <x v="0"/>
    <s v="泉南郡田尻町"/>
    <x v="70"/>
    <x v="1"/>
    <n v="19"/>
    <n v="11.52"/>
    <n v="9"/>
    <n v="8.82"/>
    <n v="10"/>
    <n v="16.13"/>
    <x v="0"/>
  </r>
  <r>
    <x v="0"/>
    <s v="泉南郡田尻町"/>
    <x v="70"/>
    <x v="2"/>
    <n v="11"/>
    <n v="6.67"/>
    <n v="4"/>
    <n v="3.92"/>
    <n v="7"/>
    <n v="11.29"/>
    <x v="0"/>
  </r>
  <r>
    <x v="0"/>
    <s v="泉南郡田尻町"/>
    <x v="70"/>
    <x v="3"/>
    <n v="0"/>
    <n v="0"/>
    <n v="0"/>
    <n v="0"/>
    <n v="0"/>
    <n v="0"/>
    <x v="0"/>
  </r>
  <r>
    <x v="0"/>
    <s v="泉南郡田尻町"/>
    <x v="70"/>
    <x v="4"/>
    <n v="0"/>
    <n v="0"/>
    <n v="0"/>
    <n v="0"/>
    <n v="0"/>
    <n v="0"/>
    <x v="0"/>
  </r>
  <r>
    <x v="0"/>
    <s v="泉南郡田尻町"/>
    <x v="70"/>
    <x v="5"/>
    <n v="15"/>
    <n v="9.09"/>
    <n v="0"/>
    <n v="0"/>
    <n v="15"/>
    <n v="24.19"/>
    <x v="0"/>
  </r>
  <r>
    <x v="0"/>
    <s v="泉南郡田尻町"/>
    <x v="70"/>
    <x v="6"/>
    <n v="44"/>
    <n v="26.67"/>
    <n v="27"/>
    <n v="26.47"/>
    <n v="17"/>
    <n v="27.42"/>
    <x v="0"/>
  </r>
  <r>
    <x v="0"/>
    <s v="泉南郡田尻町"/>
    <x v="70"/>
    <x v="7"/>
    <n v="0"/>
    <n v="0"/>
    <n v="0"/>
    <n v="0"/>
    <n v="0"/>
    <n v="0"/>
    <x v="0"/>
  </r>
  <r>
    <x v="0"/>
    <s v="泉南郡田尻町"/>
    <x v="70"/>
    <x v="8"/>
    <n v="20"/>
    <n v="12.12"/>
    <n v="18"/>
    <n v="17.649999999999999"/>
    <n v="2"/>
    <n v="3.23"/>
    <x v="0"/>
  </r>
  <r>
    <x v="0"/>
    <s v="泉南郡田尻町"/>
    <x v="70"/>
    <x v="9"/>
    <n v="3"/>
    <n v="1.82"/>
    <n v="2"/>
    <n v="1.96"/>
    <n v="1"/>
    <n v="1.61"/>
    <x v="0"/>
  </r>
  <r>
    <x v="0"/>
    <s v="泉南郡田尻町"/>
    <x v="70"/>
    <x v="10"/>
    <n v="11"/>
    <n v="6.67"/>
    <n v="7"/>
    <n v="6.86"/>
    <n v="4"/>
    <n v="6.45"/>
    <x v="0"/>
  </r>
  <r>
    <x v="0"/>
    <s v="泉南郡田尻町"/>
    <x v="70"/>
    <x v="11"/>
    <n v="20"/>
    <n v="12.12"/>
    <n v="18"/>
    <n v="17.649999999999999"/>
    <n v="2"/>
    <n v="3.23"/>
    <x v="0"/>
  </r>
  <r>
    <x v="0"/>
    <s v="泉南郡田尻町"/>
    <x v="70"/>
    <x v="12"/>
    <n v="9"/>
    <n v="5.45"/>
    <n v="9"/>
    <n v="8.82"/>
    <n v="0"/>
    <n v="0"/>
    <x v="0"/>
  </r>
  <r>
    <x v="0"/>
    <s v="泉南郡田尻町"/>
    <x v="70"/>
    <x v="13"/>
    <n v="7"/>
    <n v="4.24"/>
    <n v="6"/>
    <n v="5.88"/>
    <n v="1"/>
    <n v="1.61"/>
    <x v="0"/>
  </r>
  <r>
    <x v="0"/>
    <s v="泉南郡田尻町"/>
    <x v="70"/>
    <x v="14"/>
    <n v="6"/>
    <n v="3.64"/>
    <n v="2"/>
    <n v="1.96"/>
    <n v="3"/>
    <n v="4.84"/>
    <x v="0"/>
  </r>
  <r>
    <x v="0"/>
    <s v="泉南郡岬町"/>
    <x v="71"/>
    <x v="0"/>
    <n v="0"/>
    <n v="0"/>
    <n v="0"/>
    <n v="0"/>
    <n v="0"/>
    <n v="0"/>
    <x v="0"/>
  </r>
  <r>
    <x v="0"/>
    <s v="泉南郡岬町"/>
    <x v="71"/>
    <x v="1"/>
    <n v="37"/>
    <n v="15.61"/>
    <n v="9"/>
    <n v="6.43"/>
    <n v="28"/>
    <n v="30.11"/>
    <x v="0"/>
  </r>
  <r>
    <x v="0"/>
    <s v="泉南郡岬町"/>
    <x v="71"/>
    <x v="2"/>
    <n v="17"/>
    <n v="7.17"/>
    <n v="9"/>
    <n v="6.43"/>
    <n v="8"/>
    <n v="8.6"/>
    <x v="0"/>
  </r>
  <r>
    <x v="0"/>
    <s v="泉南郡岬町"/>
    <x v="71"/>
    <x v="3"/>
    <n v="1"/>
    <n v="0.42"/>
    <n v="0"/>
    <n v="0"/>
    <n v="1"/>
    <n v="1.08"/>
    <x v="0"/>
  </r>
  <r>
    <x v="0"/>
    <s v="泉南郡岬町"/>
    <x v="71"/>
    <x v="4"/>
    <n v="1"/>
    <n v="0.42"/>
    <n v="0"/>
    <n v="0"/>
    <n v="1"/>
    <n v="1.08"/>
    <x v="0"/>
  </r>
  <r>
    <x v="0"/>
    <s v="泉南郡岬町"/>
    <x v="71"/>
    <x v="5"/>
    <n v="1"/>
    <n v="0.42"/>
    <n v="0"/>
    <n v="0"/>
    <n v="0"/>
    <n v="0"/>
    <x v="0"/>
  </r>
  <r>
    <x v="0"/>
    <s v="泉南郡岬町"/>
    <x v="71"/>
    <x v="6"/>
    <n v="72"/>
    <n v="30.38"/>
    <n v="43"/>
    <n v="30.71"/>
    <n v="29"/>
    <n v="31.18"/>
    <x v="0"/>
  </r>
  <r>
    <x v="0"/>
    <s v="泉南郡岬町"/>
    <x v="71"/>
    <x v="7"/>
    <n v="0"/>
    <n v="0"/>
    <n v="0"/>
    <n v="0"/>
    <n v="0"/>
    <n v="0"/>
    <x v="0"/>
  </r>
  <r>
    <x v="0"/>
    <s v="泉南郡岬町"/>
    <x v="71"/>
    <x v="8"/>
    <n v="17"/>
    <n v="7.17"/>
    <n v="11"/>
    <n v="7.86"/>
    <n v="6"/>
    <n v="6.45"/>
    <x v="0"/>
  </r>
  <r>
    <x v="0"/>
    <s v="泉南郡岬町"/>
    <x v="71"/>
    <x v="9"/>
    <n v="9"/>
    <n v="3.8"/>
    <n v="2"/>
    <n v="1.43"/>
    <n v="7"/>
    <n v="7.53"/>
    <x v="0"/>
  </r>
  <r>
    <x v="0"/>
    <s v="泉南郡岬町"/>
    <x v="71"/>
    <x v="10"/>
    <n v="28"/>
    <n v="11.81"/>
    <n v="27"/>
    <n v="19.29"/>
    <n v="1"/>
    <n v="1.08"/>
    <x v="0"/>
  </r>
  <r>
    <x v="0"/>
    <s v="泉南郡岬町"/>
    <x v="71"/>
    <x v="11"/>
    <n v="26"/>
    <n v="10.97"/>
    <n v="20"/>
    <n v="14.29"/>
    <n v="4"/>
    <n v="4.3"/>
    <x v="0"/>
  </r>
  <r>
    <x v="0"/>
    <s v="泉南郡岬町"/>
    <x v="71"/>
    <x v="12"/>
    <n v="7"/>
    <n v="2.95"/>
    <n v="6"/>
    <n v="4.29"/>
    <n v="0"/>
    <n v="0"/>
    <x v="0"/>
  </r>
  <r>
    <x v="0"/>
    <s v="泉南郡岬町"/>
    <x v="71"/>
    <x v="13"/>
    <n v="11"/>
    <n v="4.6399999999999997"/>
    <n v="7"/>
    <n v="5"/>
    <n v="4"/>
    <n v="4.3"/>
    <x v="0"/>
  </r>
  <r>
    <x v="0"/>
    <s v="泉南郡岬町"/>
    <x v="71"/>
    <x v="14"/>
    <n v="10"/>
    <n v="4.22"/>
    <n v="6"/>
    <n v="4.29"/>
    <n v="4"/>
    <n v="4.3"/>
    <x v="0"/>
  </r>
  <r>
    <x v="0"/>
    <s v="南河内郡太子町"/>
    <x v="72"/>
    <x v="0"/>
    <n v="0"/>
    <n v="0"/>
    <n v="0"/>
    <n v="0"/>
    <n v="0"/>
    <n v="0"/>
    <x v="0"/>
  </r>
  <r>
    <x v="0"/>
    <s v="南河内郡太子町"/>
    <x v="72"/>
    <x v="1"/>
    <n v="49"/>
    <n v="20.76"/>
    <n v="14"/>
    <n v="10.37"/>
    <n v="35"/>
    <n v="35.71"/>
    <x v="0"/>
  </r>
  <r>
    <x v="0"/>
    <s v="南河内郡太子町"/>
    <x v="72"/>
    <x v="2"/>
    <n v="35"/>
    <n v="14.83"/>
    <n v="14"/>
    <n v="10.37"/>
    <n v="21"/>
    <n v="21.43"/>
    <x v="0"/>
  </r>
  <r>
    <x v="0"/>
    <s v="南河内郡太子町"/>
    <x v="72"/>
    <x v="3"/>
    <n v="0"/>
    <n v="0"/>
    <n v="0"/>
    <n v="0"/>
    <n v="0"/>
    <n v="0"/>
    <x v="0"/>
  </r>
  <r>
    <x v="0"/>
    <s v="南河内郡太子町"/>
    <x v="72"/>
    <x v="4"/>
    <n v="1"/>
    <n v="0.42"/>
    <n v="0"/>
    <n v="0"/>
    <n v="1"/>
    <n v="1.02"/>
    <x v="0"/>
  </r>
  <r>
    <x v="0"/>
    <s v="南河内郡太子町"/>
    <x v="72"/>
    <x v="5"/>
    <n v="1"/>
    <n v="0.42"/>
    <n v="0"/>
    <n v="0"/>
    <n v="1"/>
    <n v="1.02"/>
    <x v="0"/>
  </r>
  <r>
    <x v="0"/>
    <s v="南河内郡太子町"/>
    <x v="72"/>
    <x v="6"/>
    <n v="43"/>
    <n v="18.22"/>
    <n v="26"/>
    <n v="19.260000000000002"/>
    <n v="16"/>
    <n v="16.329999999999998"/>
    <x v="18"/>
  </r>
  <r>
    <x v="0"/>
    <s v="南河内郡太子町"/>
    <x v="72"/>
    <x v="7"/>
    <n v="0"/>
    <n v="0"/>
    <n v="0"/>
    <n v="0"/>
    <n v="0"/>
    <n v="0"/>
    <x v="0"/>
  </r>
  <r>
    <x v="0"/>
    <s v="南河内郡太子町"/>
    <x v="72"/>
    <x v="8"/>
    <n v="36"/>
    <n v="15.25"/>
    <n v="27"/>
    <n v="20"/>
    <n v="9"/>
    <n v="9.18"/>
    <x v="0"/>
  </r>
  <r>
    <x v="0"/>
    <s v="南河内郡太子町"/>
    <x v="72"/>
    <x v="9"/>
    <n v="9"/>
    <n v="3.81"/>
    <n v="2"/>
    <n v="1.48"/>
    <n v="7"/>
    <n v="7.14"/>
    <x v="0"/>
  </r>
  <r>
    <x v="0"/>
    <s v="南河内郡太子町"/>
    <x v="72"/>
    <x v="10"/>
    <n v="15"/>
    <n v="6.36"/>
    <n v="14"/>
    <n v="10.37"/>
    <n v="0"/>
    <n v="0"/>
    <x v="0"/>
  </r>
  <r>
    <x v="0"/>
    <s v="南河内郡太子町"/>
    <x v="72"/>
    <x v="11"/>
    <n v="15"/>
    <n v="6.36"/>
    <n v="14"/>
    <n v="10.37"/>
    <n v="1"/>
    <n v="1.02"/>
    <x v="0"/>
  </r>
  <r>
    <x v="0"/>
    <s v="南河内郡太子町"/>
    <x v="72"/>
    <x v="12"/>
    <n v="11"/>
    <n v="4.66"/>
    <n v="9"/>
    <n v="6.67"/>
    <n v="1"/>
    <n v="1.02"/>
    <x v="0"/>
  </r>
  <r>
    <x v="0"/>
    <s v="南河内郡太子町"/>
    <x v="72"/>
    <x v="13"/>
    <n v="11"/>
    <n v="4.66"/>
    <n v="9"/>
    <n v="6.67"/>
    <n v="2"/>
    <n v="2.04"/>
    <x v="0"/>
  </r>
  <r>
    <x v="0"/>
    <s v="南河内郡太子町"/>
    <x v="72"/>
    <x v="14"/>
    <n v="10"/>
    <n v="4.24"/>
    <n v="6"/>
    <n v="4.4400000000000004"/>
    <n v="4"/>
    <n v="4.08"/>
    <x v="0"/>
  </r>
  <r>
    <x v="0"/>
    <s v="南河内郡河南町"/>
    <x v="73"/>
    <x v="0"/>
    <n v="0"/>
    <n v="0"/>
    <n v="0"/>
    <n v="0"/>
    <n v="0"/>
    <n v="0"/>
    <x v="0"/>
  </r>
  <r>
    <x v="0"/>
    <s v="南河内郡河南町"/>
    <x v="73"/>
    <x v="1"/>
    <n v="65"/>
    <n v="20"/>
    <n v="21"/>
    <n v="11.73"/>
    <n v="44"/>
    <n v="30.77"/>
    <x v="0"/>
  </r>
  <r>
    <x v="0"/>
    <s v="南河内郡河南町"/>
    <x v="73"/>
    <x v="2"/>
    <n v="46"/>
    <n v="14.15"/>
    <n v="20"/>
    <n v="11.17"/>
    <n v="26"/>
    <n v="18.18"/>
    <x v="0"/>
  </r>
  <r>
    <x v="0"/>
    <s v="南河内郡河南町"/>
    <x v="73"/>
    <x v="3"/>
    <n v="1"/>
    <n v="0.31"/>
    <n v="0"/>
    <n v="0"/>
    <n v="0"/>
    <n v="0"/>
    <x v="0"/>
  </r>
  <r>
    <x v="0"/>
    <s v="南河内郡河南町"/>
    <x v="73"/>
    <x v="4"/>
    <n v="4"/>
    <n v="1.23"/>
    <n v="1"/>
    <n v="0.56000000000000005"/>
    <n v="3"/>
    <n v="2.1"/>
    <x v="0"/>
  </r>
  <r>
    <x v="0"/>
    <s v="南河内郡河南町"/>
    <x v="73"/>
    <x v="5"/>
    <n v="4"/>
    <n v="1.23"/>
    <n v="1"/>
    <n v="0.56000000000000005"/>
    <n v="3"/>
    <n v="2.1"/>
    <x v="0"/>
  </r>
  <r>
    <x v="0"/>
    <s v="南河内郡河南町"/>
    <x v="73"/>
    <x v="6"/>
    <n v="63"/>
    <n v="19.38"/>
    <n v="34"/>
    <n v="18.989999999999998"/>
    <n v="29"/>
    <n v="20.28"/>
    <x v="0"/>
  </r>
  <r>
    <x v="0"/>
    <s v="南河内郡河南町"/>
    <x v="73"/>
    <x v="7"/>
    <n v="3"/>
    <n v="0.92"/>
    <n v="0"/>
    <n v="0"/>
    <n v="3"/>
    <n v="2.1"/>
    <x v="0"/>
  </r>
  <r>
    <x v="0"/>
    <s v="南河内郡河南町"/>
    <x v="73"/>
    <x v="8"/>
    <n v="57"/>
    <n v="17.54"/>
    <n v="41"/>
    <n v="22.91"/>
    <n v="16"/>
    <n v="11.19"/>
    <x v="0"/>
  </r>
  <r>
    <x v="0"/>
    <s v="南河内郡河南町"/>
    <x v="73"/>
    <x v="9"/>
    <n v="7"/>
    <n v="2.15"/>
    <n v="3"/>
    <n v="1.68"/>
    <n v="4"/>
    <n v="2.8"/>
    <x v="0"/>
  </r>
  <r>
    <x v="0"/>
    <s v="南河内郡河南町"/>
    <x v="73"/>
    <x v="10"/>
    <n v="20"/>
    <n v="6.15"/>
    <n v="17"/>
    <n v="9.5"/>
    <n v="3"/>
    <n v="2.1"/>
    <x v="0"/>
  </r>
  <r>
    <x v="0"/>
    <s v="南河内郡河南町"/>
    <x v="73"/>
    <x v="11"/>
    <n v="23"/>
    <n v="7.08"/>
    <n v="20"/>
    <n v="11.17"/>
    <n v="2"/>
    <n v="1.4"/>
    <x v="0"/>
  </r>
  <r>
    <x v="0"/>
    <s v="南河内郡河南町"/>
    <x v="73"/>
    <x v="12"/>
    <n v="12"/>
    <n v="3.69"/>
    <n v="8"/>
    <n v="4.47"/>
    <n v="3"/>
    <n v="2.1"/>
    <x v="0"/>
  </r>
  <r>
    <x v="0"/>
    <s v="南河内郡河南町"/>
    <x v="73"/>
    <x v="13"/>
    <n v="7"/>
    <n v="2.15"/>
    <n v="6"/>
    <n v="3.35"/>
    <n v="1"/>
    <n v="0.7"/>
    <x v="0"/>
  </r>
  <r>
    <x v="0"/>
    <s v="南河内郡河南町"/>
    <x v="73"/>
    <x v="14"/>
    <n v="13"/>
    <n v="4"/>
    <n v="7"/>
    <n v="3.91"/>
    <n v="6"/>
    <n v="4.2"/>
    <x v="0"/>
  </r>
  <r>
    <x v="0"/>
    <s v="南河内郡千早赤阪村"/>
    <x v="74"/>
    <x v="0"/>
    <n v="0"/>
    <n v="0"/>
    <n v="0"/>
    <n v="0"/>
    <n v="0"/>
    <n v="0"/>
    <x v="0"/>
  </r>
  <r>
    <x v="0"/>
    <s v="南河内郡千早赤阪村"/>
    <x v="74"/>
    <x v="1"/>
    <n v="24"/>
    <n v="20.170000000000002"/>
    <n v="11"/>
    <n v="17.190000000000001"/>
    <n v="13"/>
    <n v="24.53"/>
    <x v="0"/>
  </r>
  <r>
    <x v="0"/>
    <s v="南河内郡千早赤阪村"/>
    <x v="74"/>
    <x v="2"/>
    <n v="29"/>
    <n v="24.37"/>
    <n v="16"/>
    <n v="25"/>
    <n v="13"/>
    <n v="24.53"/>
    <x v="0"/>
  </r>
  <r>
    <x v="0"/>
    <s v="南河内郡千早赤阪村"/>
    <x v="74"/>
    <x v="3"/>
    <n v="0"/>
    <n v="0"/>
    <n v="0"/>
    <n v="0"/>
    <n v="0"/>
    <n v="0"/>
    <x v="0"/>
  </r>
  <r>
    <x v="0"/>
    <s v="南河内郡千早赤阪村"/>
    <x v="74"/>
    <x v="4"/>
    <n v="0"/>
    <n v="0"/>
    <n v="0"/>
    <n v="0"/>
    <n v="0"/>
    <n v="0"/>
    <x v="0"/>
  </r>
  <r>
    <x v="0"/>
    <s v="南河内郡千早赤阪村"/>
    <x v="74"/>
    <x v="5"/>
    <n v="3"/>
    <n v="2.52"/>
    <n v="1"/>
    <n v="1.56"/>
    <n v="2"/>
    <n v="3.77"/>
    <x v="0"/>
  </r>
  <r>
    <x v="0"/>
    <s v="南河内郡千早赤阪村"/>
    <x v="74"/>
    <x v="6"/>
    <n v="23"/>
    <n v="19.329999999999998"/>
    <n v="10"/>
    <n v="15.63"/>
    <n v="13"/>
    <n v="24.53"/>
    <x v="0"/>
  </r>
  <r>
    <x v="0"/>
    <s v="南河内郡千早赤阪村"/>
    <x v="74"/>
    <x v="7"/>
    <n v="0"/>
    <n v="0"/>
    <n v="0"/>
    <n v="0"/>
    <n v="0"/>
    <n v="0"/>
    <x v="0"/>
  </r>
  <r>
    <x v="0"/>
    <s v="南河内郡千早赤阪村"/>
    <x v="74"/>
    <x v="8"/>
    <n v="13"/>
    <n v="10.92"/>
    <n v="6"/>
    <n v="9.3800000000000008"/>
    <n v="7"/>
    <n v="13.21"/>
    <x v="0"/>
  </r>
  <r>
    <x v="0"/>
    <s v="南河内郡千早赤阪村"/>
    <x v="74"/>
    <x v="9"/>
    <n v="0"/>
    <n v="0"/>
    <n v="0"/>
    <n v="0"/>
    <n v="0"/>
    <n v="0"/>
    <x v="0"/>
  </r>
  <r>
    <x v="0"/>
    <s v="南河内郡千早赤阪村"/>
    <x v="74"/>
    <x v="10"/>
    <n v="9"/>
    <n v="7.56"/>
    <n v="8"/>
    <n v="12.5"/>
    <n v="0"/>
    <n v="0"/>
    <x v="0"/>
  </r>
  <r>
    <x v="0"/>
    <s v="南河内郡千早赤阪村"/>
    <x v="74"/>
    <x v="11"/>
    <n v="5"/>
    <n v="4.2"/>
    <n v="4"/>
    <n v="6.25"/>
    <n v="1"/>
    <n v="1.89"/>
    <x v="0"/>
  </r>
  <r>
    <x v="0"/>
    <s v="南河内郡千早赤阪村"/>
    <x v="74"/>
    <x v="12"/>
    <n v="5"/>
    <n v="4.2"/>
    <n v="4"/>
    <n v="6.25"/>
    <n v="1"/>
    <n v="1.89"/>
    <x v="0"/>
  </r>
  <r>
    <x v="0"/>
    <s v="南河内郡千早赤阪村"/>
    <x v="74"/>
    <x v="13"/>
    <n v="2"/>
    <n v="1.68"/>
    <n v="2"/>
    <n v="3.13"/>
    <n v="0"/>
    <n v="0"/>
    <x v="0"/>
  </r>
  <r>
    <x v="0"/>
    <s v="南河内郡千早赤阪村"/>
    <x v="74"/>
    <x v="14"/>
    <n v="6"/>
    <n v="5.04"/>
    <n v="2"/>
    <n v="3.13"/>
    <n v="3"/>
    <n v="5.66"/>
    <x v="1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43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1"/>
  </r>
  <r>
    <x v="0"/>
    <x v="0"/>
    <x v="0"/>
    <x v="2"/>
    <x v="2"/>
    <x v="2"/>
    <x v="2"/>
    <x v="2"/>
    <x v="2"/>
    <x v="2"/>
    <x v="2"/>
    <x v="2"/>
    <x v="2"/>
    <x v="2"/>
  </r>
  <r>
    <x v="0"/>
    <x v="0"/>
    <x v="0"/>
    <x v="3"/>
    <x v="3"/>
    <x v="3"/>
    <x v="3"/>
    <x v="3"/>
    <x v="3"/>
    <x v="3"/>
    <x v="3"/>
    <x v="3"/>
    <x v="3"/>
    <x v="3"/>
  </r>
  <r>
    <x v="0"/>
    <x v="0"/>
    <x v="0"/>
    <x v="4"/>
    <x v="4"/>
    <x v="4"/>
    <x v="4"/>
    <x v="4"/>
    <x v="4"/>
    <x v="4"/>
    <x v="4"/>
    <x v="4"/>
    <x v="4"/>
    <x v="4"/>
  </r>
  <r>
    <x v="0"/>
    <x v="0"/>
    <x v="0"/>
    <x v="5"/>
    <x v="5"/>
    <x v="5"/>
    <x v="5"/>
    <x v="5"/>
    <x v="5"/>
    <x v="5"/>
    <x v="5"/>
    <x v="5"/>
    <x v="5"/>
    <x v="5"/>
  </r>
  <r>
    <x v="0"/>
    <x v="0"/>
    <x v="0"/>
    <x v="6"/>
    <x v="6"/>
    <x v="6"/>
    <x v="6"/>
    <x v="6"/>
    <x v="6"/>
    <x v="6"/>
    <x v="6"/>
    <x v="6"/>
    <x v="6"/>
    <x v="2"/>
  </r>
  <r>
    <x v="0"/>
    <x v="0"/>
    <x v="0"/>
    <x v="7"/>
    <x v="7"/>
    <x v="7"/>
    <x v="7"/>
    <x v="7"/>
    <x v="7"/>
    <x v="7"/>
    <x v="7"/>
    <x v="7"/>
    <x v="7"/>
    <x v="6"/>
  </r>
  <r>
    <x v="0"/>
    <x v="0"/>
    <x v="0"/>
    <x v="8"/>
    <x v="8"/>
    <x v="8"/>
    <x v="8"/>
    <x v="8"/>
    <x v="8"/>
    <x v="8"/>
    <x v="8"/>
    <x v="8"/>
    <x v="8"/>
    <x v="7"/>
  </r>
  <r>
    <x v="0"/>
    <x v="0"/>
    <x v="0"/>
    <x v="9"/>
    <x v="9"/>
    <x v="9"/>
    <x v="9"/>
    <x v="9"/>
    <x v="9"/>
    <x v="9"/>
    <x v="9"/>
    <x v="9"/>
    <x v="9"/>
    <x v="5"/>
  </r>
  <r>
    <x v="0"/>
    <x v="0"/>
    <x v="0"/>
    <x v="10"/>
    <x v="10"/>
    <x v="10"/>
    <x v="10"/>
    <x v="10"/>
    <x v="10"/>
    <x v="10"/>
    <x v="10"/>
    <x v="10"/>
    <x v="10"/>
    <x v="5"/>
  </r>
  <r>
    <x v="0"/>
    <x v="0"/>
    <x v="0"/>
    <x v="11"/>
    <x v="11"/>
    <x v="11"/>
    <x v="11"/>
    <x v="11"/>
    <x v="11"/>
    <x v="11"/>
    <x v="11"/>
    <x v="11"/>
    <x v="11"/>
    <x v="8"/>
  </r>
  <r>
    <x v="0"/>
    <x v="0"/>
    <x v="0"/>
    <x v="12"/>
    <x v="12"/>
    <x v="12"/>
    <x v="12"/>
    <x v="12"/>
    <x v="12"/>
    <x v="12"/>
    <x v="12"/>
    <x v="12"/>
    <x v="12"/>
    <x v="2"/>
  </r>
  <r>
    <x v="0"/>
    <x v="0"/>
    <x v="0"/>
    <x v="13"/>
    <x v="13"/>
    <x v="13"/>
    <x v="13"/>
    <x v="13"/>
    <x v="13"/>
    <x v="13"/>
    <x v="13"/>
    <x v="13"/>
    <x v="13"/>
    <x v="9"/>
  </r>
  <r>
    <x v="0"/>
    <x v="0"/>
    <x v="0"/>
    <x v="14"/>
    <x v="14"/>
    <x v="14"/>
    <x v="14"/>
    <x v="14"/>
    <x v="14"/>
    <x v="14"/>
    <x v="14"/>
    <x v="14"/>
    <x v="14"/>
    <x v="9"/>
  </r>
  <r>
    <x v="0"/>
    <x v="0"/>
    <x v="0"/>
    <x v="15"/>
    <x v="15"/>
    <x v="15"/>
    <x v="15"/>
    <x v="15"/>
    <x v="15"/>
    <x v="15"/>
    <x v="15"/>
    <x v="15"/>
    <x v="15"/>
    <x v="5"/>
  </r>
  <r>
    <x v="0"/>
    <x v="0"/>
    <x v="0"/>
    <x v="16"/>
    <x v="16"/>
    <x v="16"/>
    <x v="16"/>
    <x v="16"/>
    <x v="16"/>
    <x v="16"/>
    <x v="16"/>
    <x v="16"/>
    <x v="16"/>
    <x v="8"/>
  </r>
  <r>
    <x v="0"/>
    <x v="0"/>
    <x v="0"/>
    <x v="17"/>
    <x v="17"/>
    <x v="17"/>
    <x v="17"/>
    <x v="17"/>
    <x v="17"/>
    <x v="17"/>
    <x v="17"/>
    <x v="17"/>
    <x v="17"/>
    <x v="3"/>
  </r>
  <r>
    <x v="0"/>
    <x v="0"/>
    <x v="0"/>
    <x v="18"/>
    <x v="18"/>
    <x v="18"/>
    <x v="18"/>
    <x v="18"/>
    <x v="18"/>
    <x v="18"/>
    <x v="18"/>
    <x v="18"/>
    <x v="18"/>
    <x v="5"/>
  </r>
  <r>
    <x v="0"/>
    <x v="0"/>
    <x v="0"/>
    <x v="19"/>
    <x v="19"/>
    <x v="19"/>
    <x v="19"/>
    <x v="19"/>
    <x v="19"/>
    <x v="19"/>
    <x v="19"/>
    <x v="19"/>
    <x v="19"/>
    <x v="10"/>
  </r>
  <r>
    <x v="0"/>
    <x v="1"/>
    <x v="1"/>
    <x v="0"/>
    <x v="0"/>
    <x v="0"/>
    <x v="0"/>
    <x v="20"/>
    <x v="20"/>
    <x v="20"/>
    <x v="20"/>
    <x v="20"/>
    <x v="4"/>
    <x v="11"/>
  </r>
  <r>
    <x v="0"/>
    <x v="1"/>
    <x v="1"/>
    <x v="1"/>
    <x v="1"/>
    <x v="1"/>
    <x v="1"/>
    <x v="21"/>
    <x v="21"/>
    <x v="21"/>
    <x v="21"/>
    <x v="21"/>
    <x v="20"/>
    <x v="12"/>
  </r>
  <r>
    <x v="0"/>
    <x v="1"/>
    <x v="1"/>
    <x v="4"/>
    <x v="4"/>
    <x v="4"/>
    <x v="2"/>
    <x v="22"/>
    <x v="22"/>
    <x v="22"/>
    <x v="22"/>
    <x v="22"/>
    <x v="21"/>
    <x v="13"/>
  </r>
  <r>
    <x v="0"/>
    <x v="1"/>
    <x v="1"/>
    <x v="2"/>
    <x v="2"/>
    <x v="2"/>
    <x v="3"/>
    <x v="23"/>
    <x v="23"/>
    <x v="23"/>
    <x v="23"/>
    <x v="23"/>
    <x v="22"/>
    <x v="8"/>
  </r>
  <r>
    <x v="0"/>
    <x v="1"/>
    <x v="1"/>
    <x v="3"/>
    <x v="3"/>
    <x v="3"/>
    <x v="4"/>
    <x v="24"/>
    <x v="24"/>
    <x v="24"/>
    <x v="24"/>
    <x v="24"/>
    <x v="23"/>
    <x v="5"/>
  </r>
  <r>
    <x v="0"/>
    <x v="1"/>
    <x v="1"/>
    <x v="6"/>
    <x v="6"/>
    <x v="6"/>
    <x v="5"/>
    <x v="25"/>
    <x v="25"/>
    <x v="25"/>
    <x v="25"/>
    <x v="25"/>
    <x v="24"/>
    <x v="5"/>
  </r>
  <r>
    <x v="0"/>
    <x v="1"/>
    <x v="1"/>
    <x v="7"/>
    <x v="7"/>
    <x v="7"/>
    <x v="6"/>
    <x v="26"/>
    <x v="26"/>
    <x v="26"/>
    <x v="26"/>
    <x v="26"/>
    <x v="25"/>
    <x v="8"/>
  </r>
  <r>
    <x v="0"/>
    <x v="1"/>
    <x v="1"/>
    <x v="12"/>
    <x v="12"/>
    <x v="12"/>
    <x v="7"/>
    <x v="27"/>
    <x v="27"/>
    <x v="27"/>
    <x v="27"/>
    <x v="27"/>
    <x v="26"/>
    <x v="5"/>
  </r>
  <r>
    <x v="0"/>
    <x v="1"/>
    <x v="1"/>
    <x v="5"/>
    <x v="5"/>
    <x v="5"/>
    <x v="8"/>
    <x v="28"/>
    <x v="28"/>
    <x v="28"/>
    <x v="28"/>
    <x v="28"/>
    <x v="27"/>
    <x v="5"/>
  </r>
  <r>
    <x v="0"/>
    <x v="1"/>
    <x v="1"/>
    <x v="15"/>
    <x v="15"/>
    <x v="15"/>
    <x v="9"/>
    <x v="29"/>
    <x v="29"/>
    <x v="29"/>
    <x v="29"/>
    <x v="29"/>
    <x v="28"/>
    <x v="8"/>
  </r>
  <r>
    <x v="0"/>
    <x v="1"/>
    <x v="1"/>
    <x v="9"/>
    <x v="9"/>
    <x v="9"/>
    <x v="10"/>
    <x v="30"/>
    <x v="30"/>
    <x v="30"/>
    <x v="30"/>
    <x v="30"/>
    <x v="29"/>
    <x v="5"/>
  </r>
  <r>
    <x v="0"/>
    <x v="1"/>
    <x v="1"/>
    <x v="14"/>
    <x v="14"/>
    <x v="14"/>
    <x v="11"/>
    <x v="31"/>
    <x v="31"/>
    <x v="31"/>
    <x v="31"/>
    <x v="31"/>
    <x v="30"/>
    <x v="5"/>
  </r>
  <r>
    <x v="0"/>
    <x v="1"/>
    <x v="1"/>
    <x v="16"/>
    <x v="16"/>
    <x v="16"/>
    <x v="12"/>
    <x v="32"/>
    <x v="32"/>
    <x v="32"/>
    <x v="32"/>
    <x v="32"/>
    <x v="31"/>
    <x v="8"/>
  </r>
  <r>
    <x v="0"/>
    <x v="1"/>
    <x v="1"/>
    <x v="17"/>
    <x v="17"/>
    <x v="17"/>
    <x v="13"/>
    <x v="33"/>
    <x v="33"/>
    <x v="33"/>
    <x v="33"/>
    <x v="33"/>
    <x v="32"/>
    <x v="11"/>
  </r>
  <r>
    <x v="0"/>
    <x v="1"/>
    <x v="1"/>
    <x v="10"/>
    <x v="10"/>
    <x v="10"/>
    <x v="14"/>
    <x v="34"/>
    <x v="34"/>
    <x v="34"/>
    <x v="34"/>
    <x v="34"/>
    <x v="33"/>
    <x v="8"/>
  </r>
  <r>
    <x v="0"/>
    <x v="1"/>
    <x v="1"/>
    <x v="11"/>
    <x v="11"/>
    <x v="11"/>
    <x v="15"/>
    <x v="35"/>
    <x v="35"/>
    <x v="35"/>
    <x v="35"/>
    <x v="35"/>
    <x v="34"/>
    <x v="8"/>
  </r>
  <r>
    <x v="0"/>
    <x v="1"/>
    <x v="1"/>
    <x v="8"/>
    <x v="8"/>
    <x v="8"/>
    <x v="16"/>
    <x v="36"/>
    <x v="13"/>
    <x v="36"/>
    <x v="36"/>
    <x v="36"/>
    <x v="35"/>
    <x v="14"/>
  </r>
  <r>
    <x v="0"/>
    <x v="1"/>
    <x v="1"/>
    <x v="18"/>
    <x v="18"/>
    <x v="18"/>
    <x v="17"/>
    <x v="37"/>
    <x v="36"/>
    <x v="37"/>
    <x v="37"/>
    <x v="37"/>
    <x v="36"/>
    <x v="5"/>
  </r>
  <r>
    <x v="0"/>
    <x v="1"/>
    <x v="1"/>
    <x v="20"/>
    <x v="20"/>
    <x v="20"/>
    <x v="18"/>
    <x v="38"/>
    <x v="37"/>
    <x v="38"/>
    <x v="38"/>
    <x v="38"/>
    <x v="37"/>
    <x v="15"/>
  </r>
  <r>
    <x v="0"/>
    <x v="1"/>
    <x v="1"/>
    <x v="21"/>
    <x v="21"/>
    <x v="21"/>
    <x v="19"/>
    <x v="39"/>
    <x v="38"/>
    <x v="39"/>
    <x v="39"/>
    <x v="39"/>
    <x v="38"/>
    <x v="8"/>
  </r>
  <r>
    <x v="0"/>
    <x v="2"/>
    <x v="2"/>
    <x v="0"/>
    <x v="0"/>
    <x v="0"/>
    <x v="0"/>
    <x v="40"/>
    <x v="39"/>
    <x v="40"/>
    <x v="40"/>
    <x v="40"/>
    <x v="39"/>
    <x v="8"/>
  </r>
  <r>
    <x v="0"/>
    <x v="2"/>
    <x v="2"/>
    <x v="1"/>
    <x v="1"/>
    <x v="1"/>
    <x v="1"/>
    <x v="41"/>
    <x v="40"/>
    <x v="41"/>
    <x v="41"/>
    <x v="41"/>
    <x v="40"/>
    <x v="8"/>
  </r>
  <r>
    <x v="0"/>
    <x v="2"/>
    <x v="2"/>
    <x v="2"/>
    <x v="2"/>
    <x v="2"/>
    <x v="2"/>
    <x v="42"/>
    <x v="41"/>
    <x v="42"/>
    <x v="42"/>
    <x v="42"/>
    <x v="23"/>
    <x v="8"/>
  </r>
  <r>
    <x v="0"/>
    <x v="2"/>
    <x v="2"/>
    <x v="3"/>
    <x v="3"/>
    <x v="3"/>
    <x v="3"/>
    <x v="43"/>
    <x v="42"/>
    <x v="43"/>
    <x v="21"/>
    <x v="43"/>
    <x v="41"/>
    <x v="8"/>
  </r>
  <r>
    <x v="0"/>
    <x v="2"/>
    <x v="2"/>
    <x v="6"/>
    <x v="6"/>
    <x v="6"/>
    <x v="4"/>
    <x v="44"/>
    <x v="43"/>
    <x v="44"/>
    <x v="43"/>
    <x v="44"/>
    <x v="42"/>
    <x v="8"/>
  </r>
  <r>
    <x v="0"/>
    <x v="2"/>
    <x v="2"/>
    <x v="4"/>
    <x v="4"/>
    <x v="4"/>
    <x v="5"/>
    <x v="45"/>
    <x v="44"/>
    <x v="45"/>
    <x v="44"/>
    <x v="45"/>
    <x v="43"/>
    <x v="8"/>
  </r>
  <r>
    <x v="0"/>
    <x v="2"/>
    <x v="2"/>
    <x v="9"/>
    <x v="9"/>
    <x v="9"/>
    <x v="6"/>
    <x v="46"/>
    <x v="45"/>
    <x v="46"/>
    <x v="45"/>
    <x v="46"/>
    <x v="44"/>
    <x v="8"/>
  </r>
  <r>
    <x v="0"/>
    <x v="2"/>
    <x v="2"/>
    <x v="7"/>
    <x v="7"/>
    <x v="7"/>
    <x v="7"/>
    <x v="47"/>
    <x v="46"/>
    <x v="47"/>
    <x v="46"/>
    <x v="47"/>
    <x v="45"/>
    <x v="8"/>
  </r>
  <r>
    <x v="0"/>
    <x v="2"/>
    <x v="2"/>
    <x v="8"/>
    <x v="8"/>
    <x v="8"/>
    <x v="8"/>
    <x v="48"/>
    <x v="8"/>
    <x v="48"/>
    <x v="47"/>
    <x v="48"/>
    <x v="46"/>
    <x v="8"/>
  </r>
  <r>
    <x v="0"/>
    <x v="2"/>
    <x v="2"/>
    <x v="10"/>
    <x v="10"/>
    <x v="10"/>
    <x v="9"/>
    <x v="49"/>
    <x v="47"/>
    <x v="49"/>
    <x v="48"/>
    <x v="49"/>
    <x v="47"/>
    <x v="8"/>
  </r>
  <r>
    <x v="0"/>
    <x v="2"/>
    <x v="2"/>
    <x v="5"/>
    <x v="5"/>
    <x v="5"/>
    <x v="10"/>
    <x v="50"/>
    <x v="48"/>
    <x v="50"/>
    <x v="49"/>
    <x v="50"/>
    <x v="48"/>
    <x v="8"/>
  </r>
  <r>
    <x v="0"/>
    <x v="2"/>
    <x v="2"/>
    <x v="12"/>
    <x v="12"/>
    <x v="12"/>
    <x v="11"/>
    <x v="51"/>
    <x v="31"/>
    <x v="51"/>
    <x v="50"/>
    <x v="51"/>
    <x v="49"/>
    <x v="8"/>
  </r>
  <r>
    <x v="0"/>
    <x v="2"/>
    <x v="2"/>
    <x v="16"/>
    <x v="16"/>
    <x v="16"/>
    <x v="12"/>
    <x v="52"/>
    <x v="49"/>
    <x v="52"/>
    <x v="51"/>
    <x v="43"/>
    <x v="41"/>
    <x v="8"/>
  </r>
  <r>
    <x v="0"/>
    <x v="2"/>
    <x v="2"/>
    <x v="22"/>
    <x v="22"/>
    <x v="22"/>
    <x v="13"/>
    <x v="53"/>
    <x v="33"/>
    <x v="53"/>
    <x v="52"/>
    <x v="45"/>
    <x v="43"/>
    <x v="8"/>
  </r>
  <r>
    <x v="0"/>
    <x v="2"/>
    <x v="2"/>
    <x v="15"/>
    <x v="15"/>
    <x v="15"/>
    <x v="14"/>
    <x v="54"/>
    <x v="50"/>
    <x v="54"/>
    <x v="53"/>
    <x v="52"/>
    <x v="50"/>
    <x v="8"/>
  </r>
  <r>
    <x v="0"/>
    <x v="2"/>
    <x v="2"/>
    <x v="14"/>
    <x v="14"/>
    <x v="14"/>
    <x v="15"/>
    <x v="55"/>
    <x v="37"/>
    <x v="54"/>
    <x v="53"/>
    <x v="53"/>
    <x v="51"/>
    <x v="8"/>
  </r>
  <r>
    <x v="0"/>
    <x v="2"/>
    <x v="2"/>
    <x v="17"/>
    <x v="17"/>
    <x v="17"/>
    <x v="16"/>
    <x v="56"/>
    <x v="51"/>
    <x v="55"/>
    <x v="54"/>
    <x v="54"/>
    <x v="52"/>
    <x v="8"/>
  </r>
  <r>
    <x v="0"/>
    <x v="2"/>
    <x v="2"/>
    <x v="19"/>
    <x v="19"/>
    <x v="19"/>
    <x v="17"/>
    <x v="57"/>
    <x v="52"/>
    <x v="56"/>
    <x v="55"/>
    <x v="47"/>
    <x v="45"/>
    <x v="9"/>
  </r>
  <r>
    <x v="0"/>
    <x v="2"/>
    <x v="2"/>
    <x v="23"/>
    <x v="23"/>
    <x v="23"/>
    <x v="18"/>
    <x v="58"/>
    <x v="18"/>
    <x v="57"/>
    <x v="56"/>
    <x v="55"/>
    <x v="53"/>
    <x v="8"/>
  </r>
  <r>
    <x v="0"/>
    <x v="2"/>
    <x v="2"/>
    <x v="13"/>
    <x v="13"/>
    <x v="13"/>
    <x v="19"/>
    <x v="59"/>
    <x v="53"/>
    <x v="58"/>
    <x v="57"/>
    <x v="56"/>
    <x v="54"/>
    <x v="8"/>
  </r>
  <r>
    <x v="0"/>
    <x v="2"/>
    <x v="2"/>
    <x v="20"/>
    <x v="20"/>
    <x v="20"/>
    <x v="19"/>
    <x v="59"/>
    <x v="53"/>
    <x v="54"/>
    <x v="53"/>
    <x v="57"/>
    <x v="22"/>
    <x v="9"/>
  </r>
  <r>
    <x v="0"/>
    <x v="3"/>
    <x v="3"/>
    <x v="0"/>
    <x v="0"/>
    <x v="0"/>
    <x v="0"/>
    <x v="60"/>
    <x v="54"/>
    <x v="59"/>
    <x v="58"/>
    <x v="58"/>
    <x v="55"/>
    <x v="8"/>
  </r>
  <r>
    <x v="0"/>
    <x v="3"/>
    <x v="3"/>
    <x v="1"/>
    <x v="1"/>
    <x v="1"/>
    <x v="1"/>
    <x v="61"/>
    <x v="55"/>
    <x v="60"/>
    <x v="59"/>
    <x v="59"/>
    <x v="56"/>
    <x v="9"/>
  </r>
  <r>
    <x v="0"/>
    <x v="3"/>
    <x v="3"/>
    <x v="24"/>
    <x v="24"/>
    <x v="24"/>
    <x v="2"/>
    <x v="62"/>
    <x v="56"/>
    <x v="58"/>
    <x v="60"/>
    <x v="60"/>
    <x v="57"/>
    <x v="5"/>
  </r>
  <r>
    <x v="0"/>
    <x v="3"/>
    <x v="3"/>
    <x v="2"/>
    <x v="2"/>
    <x v="2"/>
    <x v="3"/>
    <x v="63"/>
    <x v="57"/>
    <x v="61"/>
    <x v="61"/>
    <x v="61"/>
    <x v="38"/>
    <x v="8"/>
  </r>
  <r>
    <x v="0"/>
    <x v="3"/>
    <x v="3"/>
    <x v="4"/>
    <x v="4"/>
    <x v="4"/>
    <x v="4"/>
    <x v="64"/>
    <x v="58"/>
    <x v="62"/>
    <x v="62"/>
    <x v="62"/>
    <x v="58"/>
    <x v="8"/>
  </r>
  <r>
    <x v="0"/>
    <x v="3"/>
    <x v="3"/>
    <x v="3"/>
    <x v="3"/>
    <x v="3"/>
    <x v="5"/>
    <x v="65"/>
    <x v="59"/>
    <x v="63"/>
    <x v="63"/>
    <x v="63"/>
    <x v="59"/>
    <x v="8"/>
  </r>
  <r>
    <x v="0"/>
    <x v="3"/>
    <x v="3"/>
    <x v="6"/>
    <x v="6"/>
    <x v="6"/>
    <x v="6"/>
    <x v="66"/>
    <x v="60"/>
    <x v="64"/>
    <x v="1"/>
    <x v="64"/>
    <x v="60"/>
    <x v="8"/>
  </r>
  <r>
    <x v="0"/>
    <x v="3"/>
    <x v="3"/>
    <x v="16"/>
    <x v="16"/>
    <x v="16"/>
    <x v="7"/>
    <x v="67"/>
    <x v="61"/>
    <x v="65"/>
    <x v="64"/>
    <x v="65"/>
    <x v="61"/>
    <x v="8"/>
  </r>
  <r>
    <x v="0"/>
    <x v="3"/>
    <x v="3"/>
    <x v="8"/>
    <x v="8"/>
    <x v="8"/>
    <x v="8"/>
    <x v="68"/>
    <x v="62"/>
    <x v="66"/>
    <x v="65"/>
    <x v="66"/>
    <x v="62"/>
    <x v="8"/>
  </r>
  <r>
    <x v="0"/>
    <x v="3"/>
    <x v="3"/>
    <x v="7"/>
    <x v="7"/>
    <x v="7"/>
    <x v="9"/>
    <x v="50"/>
    <x v="63"/>
    <x v="48"/>
    <x v="66"/>
    <x v="67"/>
    <x v="63"/>
    <x v="8"/>
  </r>
  <r>
    <x v="0"/>
    <x v="3"/>
    <x v="3"/>
    <x v="9"/>
    <x v="9"/>
    <x v="9"/>
    <x v="10"/>
    <x v="69"/>
    <x v="64"/>
    <x v="52"/>
    <x v="67"/>
    <x v="63"/>
    <x v="59"/>
    <x v="8"/>
  </r>
  <r>
    <x v="0"/>
    <x v="3"/>
    <x v="3"/>
    <x v="18"/>
    <x v="18"/>
    <x v="18"/>
    <x v="11"/>
    <x v="53"/>
    <x v="65"/>
    <x v="67"/>
    <x v="68"/>
    <x v="68"/>
    <x v="64"/>
    <x v="8"/>
  </r>
  <r>
    <x v="0"/>
    <x v="3"/>
    <x v="3"/>
    <x v="14"/>
    <x v="14"/>
    <x v="14"/>
    <x v="12"/>
    <x v="70"/>
    <x v="66"/>
    <x v="67"/>
    <x v="68"/>
    <x v="69"/>
    <x v="65"/>
    <x v="8"/>
  </r>
  <r>
    <x v="0"/>
    <x v="3"/>
    <x v="3"/>
    <x v="15"/>
    <x v="15"/>
    <x v="15"/>
    <x v="13"/>
    <x v="71"/>
    <x v="67"/>
    <x v="65"/>
    <x v="64"/>
    <x v="70"/>
    <x v="37"/>
    <x v="8"/>
  </r>
  <r>
    <x v="0"/>
    <x v="3"/>
    <x v="3"/>
    <x v="17"/>
    <x v="17"/>
    <x v="17"/>
    <x v="14"/>
    <x v="72"/>
    <x v="68"/>
    <x v="55"/>
    <x v="5"/>
    <x v="71"/>
    <x v="66"/>
    <x v="8"/>
  </r>
  <r>
    <x v="0"/>
    <x v="3"/>
    <x v="3"/>
    <x v="22"/>
    <x v="22"/>
    <x v="22"/>
    <x v="15"/>
    <x v="56"/>
    <x v="17"/>
    <x v="50"/>
    <x v="69"/>
    <x v="53"/>
    <x v="67"/>
    <x v="8"/>
  </r>
  <r>
    <x v="0"/>
    <x v="3"/>
    <x v="3"/>
    <x v="5"/>
    <x v="5"/>
    <x v="5"/>
    <x v="16"/>
    <x v="57"/>
    <x v="69"/>
    <x v="68"/>
    <x v="70"/>
    <x v="72"/>
    <x v="68"/>
    <x v="8"/>
  </r>
  <r>
    <x v="0"/>
    <x v="3"/>
    <x v="3"/>
    <x v="12"/>
    <x v="12"/>
    <x v="12"/>
    <x v="16"/>
    <x v="57"/>
    <x v="69"/>
    <x v="57"/>
    <x v="71"/>
    <x v="73"/>
    <x v="69"/>
    <x v="8"/>
  </r>
  <r>
    <x v="0"/>
    <x v="3"/>
    <x v="3"/>
    <x v="23"/>
    <x v="23"/>
    <x v="23"/>
    <x v="18"/>
    <x v="73"/>
    <x v="18"/>
    <x v="69"/>
    <x v="72"/>
    <x v="74"/>
    <x v="70"/>
    <x v="8"/>
  </r>
  <r>
    <x v="0"/>
    <x v="3"/>
    <x v="3"/>
    <x v="10"/>
    <x v="10"/>
    <x v="10"/>
    <x v="19"/>
    <x v="59"/>
    <x v="70"/>
    <x v="70"/>
    <x v="73"/>
    <x v="48"/>
    <x v="71"/>
    <x v="8"/>
  </r>
  <r>
    <x v="0"/>
    <x v="4"/>
    <x v="4"/>
    <x v="0"/>
    <x v="0"/>
    <x v="0"/>
    <x v="0"/>
    <x v="74"/>
    <x v="71"/>
    <x v="71"/>
    <x v="74"/>
    <x v="75"/>
    <x v="72"/>
    <x v="8"/>
  </r>
  <r>
    <x v="0"/>
    <x v="4"/>
    <x v="4"/>
    <x v="1"/>
    <x v="1"/>
    <x v="1"/>
    <x v="1"/>
    <x v="75"/>
    <x v="72"/>
    <x v="72"/>
    <x v="75"/>
    <x v="76"/>
    <x v="73"/>
    <x v="8"/>
  </r>
  <r>
    <x v="0"/>
    <x v="4"/>
    <x v="4"/>
    <x v="2"/>
    <x v="2"/>
    <x v="2"/>
    <x v="2"/>
    <x v="76"/>
    <x v="73"/>
    <x v="60"/>
    <x v="76"/>
    <x v="77"/>
    <x v="74"/>
    <x v="8"/>
  </r>
  <r>
    <x v="0"/>
    <x v="4"/>
    <x v="4"/>
    <x v="7"/>
    <x v="7"/>
    <x v="7"/>
    <x v="3"/>
    <x v="77"/>
    <x v="74"/>
    <x v="73"/>
    <x v="77"/>
    <x v="64"/>
    <x v="75"/>
    <x v="8"/>
  </r>
  <r>
    <x v="0"/>
    <x v="4"/>
    <x v="4"/>
    <x v="3"/>
    <x v="3"/>
    <x v="3"/>
    <x v="4"/>
    <x v="78"/>
    <x v="75"/>
    <x v="74"/>
    <x v="78"/>
    <x v="78"/>
    <x v="76"/>
    <x v="8"/>
  </r>
  <r>
    <x v="0"/>
    <x v="4"/>
    <x v="4"/>
    <x v="9"/>
    <x v="9"/>
    <x v="9"/>
    <x v="5"/>
    <x v="79"/>
    <x v="76"/>
    <x v="75"/>
    <x v="79"/>
    <x v="43"/>
    <x v="77"/>
    <x v="8"/>
  </r>
  <r>
    <x v="0"/>
    <x v="4"/>
    <x v="4"/>
    <x v="10"/>
    <x v="10"/>
    <x v="10"/>
    <x v="6"/>
    <x v="70"/>
    <x v="43"/>
    <x v="76"/>
    <x v="80"/>
    <x v="72"/>
    <x v="78"/>
    <x v="8"/>
  </r>
  <r>
    <x v="0"/>
    <x v="4"/>
    <x v="4"/>
    <x v="5"/>
    <x v="5"/>
    <x v="5"/>
    <x v="7"/>
    <x v="80"/>
    <x v="77"/>
    <x v="77"/>
    <x v="72"/>
    <x v="79"/>
    <x v="5"/>
    <x v="8"/>
  </r>
  <r>
    <x v="0"/>
    <x v="4"/>
    <x v="4"/>
    <x v="6"/>
    <x v="6"/>
    <x v="6"/>
    <x v="8"/>
    <x v="81"/>
    <x v="78"/>
    <x v="78"/>
    <x v="81"/>
    <x v="80"/>
    <x v="79"/>
    <x v="8"/>
  </r>
  <r>
    <x v="0"/>
    <x v="4"/>
    <x v="4"/>
    <x v="8"/>
    <x v="8"/>
    <x v="8"/>
    <x v="9"/>
    <x v="82"/>
    <x v="79"/>
    <x v="79"/>
    <x v="82"/>
    <x v="81"/>
    <x v="80"/>
    <x v="8"/>
  </r>
  <r>
    <x v="0"/>
    <x v="4"/>
    <x v="4"/>
    <x v="11"/>
    <x v="11"/>
    <x v="11"/>
    <x v="10"/>
    <x v="83"/>
    <x v="80"/>
    <x v="70"/>
    <x v="15"/>
    <x v="82"/>
    <x v="81"/>
    <x v="8"/>
  </r>
  <r>
    <x v="0"/>
    <x v="4"/>
    <x v="4"/>
    <x v="12"/>
    <x v="12"/>
    <x v="12"/>
    <x v="10"/>
    <x v="83"/>
    <x v="80"/>
    <x v="80"/>
    <x v="83"/>
    <x v="83"/>
    <x v="82"/>
    <x v="8"/>
  </r>
  <r>
    <x v="0"/>
    <x v="4"/>
    <x v="4"/>
    <x v="13"/>
    <x v="13"/>
    <x v="13"/>
    <x v="10"/>
    <x v="83"/>
    <x v="80"/>
    <x v="81"/>
    <x v="84"/>
    <x v="84"/>
    <x v="83"/>
    <x v="8"/>
  </r>
  <r>
    <x v="0"/>
    <x v="4"/>
    <x v="4"/>
    <x v="18"/>
    <x v="18"/>
    <x v="18"/>
    <x v="13"/>
    <x v="84"/>
    <x v="81"/>
    <x v="50"/>
    <x v="64"/>
    <x v="56"/>
    <x v="18"/>
    <x v="8"/>
  </r>
  <r>
    <x v="0"/>
    <x v="4"/>
    <x v="4"/>
    <x v="4"/>
    <x v="4"/>
    <x v="4"/>
    <x v="14"/>
    <x v="85"/>
    <x v="82"/>
    <x v="81"/>
    <x v="84"/>
    <x v="85"/>
    <x v="84"/>
    <x v="8"/>
  </r>
  <r>
    <x v="0"/>
    <x v="4"/>
    <x v="4"/>
    <x v="20"/>
    <x v="20"/>
    <x v="20"/>
    <x v="15"/>
    <x v="86"/>
    <x v="52"/>
    <x v="82"/>
    <x v="85"/>
    <x v="73"/>
    <x v="85"/>
    <x v="5"/>
  </r>
  <r>
    <x v="0"/>
    <x v="4"/>
    <x v="4"/>
    <x v="24"/>
    <x v="24"/>
    <x v="24"/>
    <x v="16"/>
    <x v="87"/>
    <x v="83"/>
    <x v="82"/>
    <x v="85"/>
    <x v="73"/>
    <x v="85"/>
    <x v="8"/>
  </r>
  <r>
    <x v="0"/>
    <x v="4"/>
    <x v="4"/>
    <x v="17"/>
    <x v="17"/>
    <x v="17"/>
    <x v="16"/>
    <x v="87"/>
    <x v="83"/>
    <x v="52"/>
    <x v="29"/>
    <x v="86"/>
    <x v="86"/>
    <x v="8"/>
  </r>
  <r>
    <x v="0"/>
    <x v="4"/>
    <x v="4"/>
    <x v="16"/>
    <x v="16"/>
    <x v="16"/>
    <x v="18"/>
    <x v="88"/>
    <x v="84"/>
    <x v="68"/>
    <x v="86"/>
    <x v="73"/>
    <x v="85"/>
    <x v="8"/>
  </r>
  <r>
    <x v="0"/>
    <x v="4"/>
    <x v="4"/>
    <x v="25"/>
    <x v="25"/>
    <x v="25"/>
    <x v="19"/>
    <x v="89"/>
    <x v="85"/>
    <x v="56"/>
    <x v="55"/>
    <x v="86"/>
    <x v="86"/>
    <x v="8"/>
  </r>
  <r>
    <x v="0"/>
    <x v="4"/>
    <x v="4"/>
    <x v="14"/>
    <x v="14"/>
    <x v="14"/>
    <x v="19"/>
    <x v="89"/>
    <x v="85"/>
    <x v="52"/>
    <x v="29"/>
    <x v="84"/>
    <x v="83"/>
    <x v="8"/>
  </r>
  <r>
    <x v="0"/>
    <x v="4"/>
    <x v="4"/>
    <x v="26"/>
    <x v="26"/>
    <x v="26"/>
    <x v="19"/>
    <x v="89"/>
    <x v="85"/>
    <x v="83"/>
    <x v="87"/>
    <x v="87"/>
    <x v="87"/>
    <x v="8"/>
  </r>
  <r>
    <x v="0"/>
    <x v="5"/>
    <x v="5"/>
    <x v="0"/>
    <x v="0"/>
    <x v="0"/>
    <x v="0"/>
    <x v="90"/>
    <x v="86"/>
    <x v="84"/>
    <x v="88"/>
    <x v="88"/>
    <x v="88"/>
    <x v="8"/>
  </r>
  <r>
    <x v="0"/>
    <x v="5"/>
    <x v="5"/>
    <x v="4"/>
    <x v="4"/>
    <x v="4"/>
    <x v="1"/>
    <x v="91"/>
    <x v="87"/>
    <x v="85"/>
    <x v="89"/>
    <x v="89"/>
    <x v="89"/>
    <x v="8"/>
  </r>
  <r>
    <x v="0"/>
    <x v="5"/>
    <x v="5"/>
    <x v="1"/>
    <x v="1"/>
    <x v="1"/>
    <x v="2"/>
    <x v="92"/>
    <x v="72"/>
    <x v="86"/>
    <x v="90"/>
    <x v="90"/>
    <x v="90"/>
    <x v="8"/>
  </r>
  <r>
    <x v="0"/>
    <x v="5"/>
    <x v="5"/>
    <x v="17"/>
    <x v="17"/>
    <x v="17"/>
    <x v="3"/>
    <x v="93"/>
    <x v="88"/>
    <x v="87"/>
    <x v="91"/>
    <x v="91"/>
    <x v="91"/>
    <x v="8"/>
  </r>
  <r>
    <x v="0"/>
    <x v="5"/>
    <x v="5"/>
    <x v="16"/>
    <x v="16"/>
    <x v="16"/>
    <x v="4"/>
    <x v="94"/>
    <x v="89"/>
    <x v="77"/>
    <x v="92"/>
    <x v="41"/>
    <x v="92"/>
    <x v="8"/>
  </r>
  <r>
    <x v="0"/>
    <x v="5"/>
    <x v="5"/>
    <x v="18"/>
    <x v="18"/>
    <x v="18"/>
    <x v="5"/>
    <x v="95"/>
    <x v="90"/>
    <x v="76"/>
    <x v="93"/>
    <x v="92"/>
    <x v="93"/>
    <x v="8"/>
  </r>
  <r>
    <x v="0"/>
    <x v="5"/>
    <x v="5"/>
    <x v="15"/>
    <x v="15"/>
    <x v="15"/>
    <x v="6"/>
    <x v="96"/>
    <x v="5"/>
    <x v="53"/>
    <x v="94"/>
    <x v="93"/>
    <x v="94"/>
    <x v="8"/>
  </r>
  <r>
    <x v="0"/>
    <x v="5"/>
    <x v="5"/>
    <x v="2"/>
    <x v="2"/>
    <x v="2"/>
    <x v="7"/>
    <x v="97"/>
    <x v="91"/>
    <x v="88"/>
    <x v="95"/>
    <x v="94"/>
    <x v="95"/>
    <x v="8"/>
  </r>
  <r>
    <x v="0"/>
    <x v="5"/>
    <x v="5"/>
    <x v="3"/>
    <x v="3"/>
    <x v="3"/>
    <x v="8"/>
    <x v="98"/>
    <x v="6"/>
    <x v="89"/>
    <x v="96"/>
    <x v="95"/>
    <x v="96"/>
    <x v="8"/>
  </r>
  <r>
    <x v="0"/>
    <x v="5"/>
    <x v="5"/>
    <x v="11"/>
    <x v="11"/>
    <x v="11"/>
    <x v="9"/>
    <x v="99"/>
    <x v="92"/>
    <x v="90"/>
    <x v="97"/>
    <x v="96"/>
    <x v="97"/>
    <x v="8"/>
  </r>
  <r>
    <x v="0"/>
    <x v="5"/>
    <x v="5"/>
    <x v="20"/>
    <x v="20"/>
    <x v="20"/>
    <x v="10"/>
    <x v="100"/>
    <x v="93"/>
    <x v="70"/>
    <x v="98"/>
    <x v="97"/>
    <x v="98"/>
    <x v="5"/>
  </r>
  <r>
    <x v="0"/>
    <x v="5"/>
    <x v="5"/>
    <x v="14"/>
    <x v="14"/>
    <x v="14"/>
    <x v="11"/>
    <x v="101"/>
    <x v="94"/>
    <x v="46"/>
    <x v="99"/>
    <x v="98"/>
    <x v="99"/>
    <x v="8"/>
  </r>
  <r>
    <x v="0"/>
    <x v="5"/>
    <x v="5"/>
    <x v="21"/>
    <x v="21"/>
    <x v="21"/>
    <x v="12"/>
    <x v="102"/>
    <x v="95"/>
    <x v="50"/>
    <x v="73"/>
    <x v="99"/>
    <x v="100"/>
    <x v="8"/>
  </r>
  <r>
    <x v="0"/>
    <x v="5"/>
    <x v="5"/>
    <x v="12"/>
    <x v="12"/>
    <x v="12"/>
    <x v="13"/>
    <x v="103"/>
    <x v="12"/>
    <x v="91"/>
    <x v="100"/>
    <x v="88"/>
    <x v="88"/>
    <x v="8"/>
  </r>
  <r>
    <x v="0"/>
    <x v="5"/>
    <x v="5"/>
    <x v="5"/>
    <x v="5"/>
    <x v="5"/>
    <x v="14"/>
    <x v="104"/>
    <x v="49"/>
    <x v="82"/>
    <x v="101"/>
    <x v="100"/>
    <x v="50"/>
    <x v="8"/>
  </r>
  <r>
    <x v="0"/>
    <x v="5"/>
    <x v="5"/>
    <x v="9"/>
    <x v="9"/>
    <x v="9"/>
    <x v="15"/>
    <x v="105"/>
    <x v="96"/>
    <x v="67"/>
    <x v="102"/>
    <x v="101"/>
    <x v="101"/>
    <x v="8"/>
  </r>
  <r>
    <x v="0"/>
    <x v="5"/>
    <x v="5"/>
    <x v="6"/>
    <x v="6"/>
    <x v="6"/>
    <x v="16"/>
    <x v="106"/>
    <x v="97"/>
    <x v="92"/>
    <x v="103"/>
    <x v="82"/>
    <x v="102"/>
    <x v="8"/>
  </r>
  <r>
    <x v="0"/>
    <x v="5"/>
    <x v="5"/>
    <x v="27"/>
    <x v="27"/>
    <x v="27"/>
    <x v="17"/>
    <x v="76"/>
    <x v="98"/>
    <x v="82"/>
    <x v="101"/>
    <x v="102"/>
    <x v="103"/>
    <x v="8"/>
  </r>
  <r>
    <x v="0"/>
    <x v="5"/>
    <x v="5"/>
    <x v="7"/>
    <x v="7"/>
    <x v="7"/>
    <x v="18"/>
    <x v="107"/>
    <x v="69"/>
    <x v="93"/>
    <x v="104"/>
    <x v="103"/>
    <x v="104"/>
    <x v="8"/>
  </r>
  <r>
    <x v="0"/>
    <x v="5"/>
    <x v="5"/>
    <x v="10"/>
    <x v="10"/>
    <x v="10"/>
    <x v="19"/>
    <x v="108"/>
    <x v="51"/>
    <x v="76"/>
    <x v="93"/>
    <x v="104"/>
    <x v="105"/>
    <x v="8"/>
  </r>
  <r>
    <x v="0"/>
    <x v="6"/>
    <x v="6"/>
    <x v="0"/>
    <x v="0"/>
    <x v="0"/>
    <x v="0"/>
    <x v="109"/>
    <x v="99"/>
    <x v="94"/>
    <x v="105"/>
    <x v="105"/>
    <x v="106"/>
    <x v="5"/>
  </r>
  <r>
    <x v="0"/>
    <x v="6"/>
    <x v="6"/>
    <x v="1"/>
    <x v="1"/>
    <x v="1"/>
    <x v="1"/>
    <x v="100"/>
    <x v="100"/>
    <x v="95"/>
    <x v="106"/>
    <x v="106"/>
    <x v="107"/>
    <x v="8"/>
  </r>
  <r>
    <x v="0"/>
    <x v="6"/>
    <x v="6"/>
    <x v="2"/>
    <x v="2"/>
    <x v="2"/>
    <x v="2"/>
    <x v="110"/>
    <x v="101"/>
    <x v="96"/>
    <x v="107"/>
    <x v="44"/>
    <x v="108"/>
    <x v="8"/>
  </r>
  <r>
    <x v="0"/>
    <x v="6"/>
    <x v="6"/>
    <x v="11"/>
    <x v="11"/>
    <x v="11"/>
    <x v="3"/>
    <x v="111"/>
    <x v="102"/>
    <x v="97"/>
    <x v="21"/>
    <x v="107"/>
    <x v="109"/>
    <x v="8"/>
  </r>
  <r>
    <x v="0"/>
    <x v="6"/>
    <x v="6"/>
    <x v="3"/>
    <x v="3"/>
    <x v="3"/>
    <x v="4"/>
    <x v="75"/>
    <x v="103"/>
    <x v="98"/>
    <x v="108"/>
    <x v="72"/>
    <x v="110"/>
    <x v="5"/>
  </r>
  <r>
    <x v="0"/>
    <x v="6"/>
    <x v="6"/>
    <x v="7"/>
    <x v="7"/>
    <x v="7"/>
    <x v="5"/>
    <x v="112"/>
    <x v="104"/>
    <x v="99"/>
    <x v="109"/>
    <x v="73"/>
    <x v="111"/>
    <x v="8"/>
  </r>
  <r>
    <x v="0"/>
    <x v="6"/>
    <x v="6"/>
    <x v="5"/>
    <x v="5"/>
    <x v="5"/>
    <x v="6"/>
    <x v="113"/>
    <x v="105"/>
    <x v="69"/>
    <x v="80"/>
    <x v="108"/>
    <x v="112"/>
    <x v="8"/>
  </r>
  <r>
    <x v="0"/>
    <x v="6"/>
    <x v="6"/>
    <x v="10"/>
    <x v="10"/>
    <x v="10"/>
    <x v="7"/>
    <x v="66"/>
    <x v="106"/>
    <x v="100"/>
    <x v="110"/>
    <x v="40"/>
    <x v="113"/>
    <x v="8"/>
  </r>
  <r>
    <x v="0"/>
    <x v="6"/>
    <x v="6"/>
    <x v="6"/>
    <x v="6"/>
    <x v="6"/>
    <x v="8"/>
    <x v="114"/>
    <x v="107"/>
    <x v="101"/>
    <x v="111"/>
    <x v="87"/>
    <x v="114"/>
    <x v="8"/>
  </r>
  <r>
    <x v="0"/>
    <x v="6"/>
    <x v="6"/>
    <x v="9"/>
    <x v="9"/>
    <x v="9"/>
    <x v="9"/>
    <x v="70"/>
    <x v="108"/>
    <x v="55"/>
    <x v="112"/>
    <x v="79"/>
    <x v="115"/>
    <x v="8"/>
  </r>
  <r>
    <x v="0"/>
    <x v="6"/>
    <x v="6"/>
    <x v="13"/>
    <x v="13"/>
    <x v="13"/>
    <x v="9"/>
    <x v="70"/>
    <x v="108"/>
    <x v="19"/>
    <x v="113"/>
    <x v="86"/>
    <x v="116"/>
    <x v="8"/>
  </r>
  <r>
    <x v="0"/>
    <x v="6"/>
    <x v="6"/>
    <x v="18"/>
    <x v="18"/>
    <x v="18"/>
    <x v="11"/>
    <x v="115"/>
    <x v="109"/>
    <x v="46"/>
    <x v="114"/>
    <x v="70"/>
    <x v="117"/>
    <x v="8"/>
  </r>
  <r>
    <x v="0"/>
    <x v="6"/>
    <x v="6"/>
    <x v="28"/>
    <x v="28"/>
    <x v="28"/>
    <x v="12"/>
    <x v="116"/>
    <x v="110"/>
    <x v="79"/>
    <x v="13"/>
    <x v="44"/>
    <x v="108"/>
    <x v="8"/>
  </r>
  <r>
    <x v="0"/>
    <x v="6"/>
    <x v="6"/>
    <x v="16"/>
    <x v="16"/>
    <x v="16"/>
    <x v="13"/>
    <x v="117"/>
    <x v="66"/>
    <x v="67"/>
    <x v="18"/>
    <x v="70"/>
    <x v="117"/>
    <x v="8"/>
  </r>
  <r>
    <x v="0"/>
    <x v="6"/>
    <x v="6"/>
    <x v="12"/>
    <x v="12"/>
    <x v="12"/>
    <x v="14"/>
    <x v="56"/>
    <x v="111"/>
    <x v="102"/>
    <x v="36"/>
    <x v="64"/>
    <x v="118"/>
    <x v="8"/>
  </r>
  <r>
    <x v="0"/>
    <x v="6"/>
    <x v="6"/>
    <x v="29"/>
    <x v="29"/>
    <x v="29"/>
    <x v="15"/>
    <x v="73"/>
    <x v="112"/>
    <x v="49"/>
    <x v="54"/>
    <x v="109"/>
    <x v="103"/>
    <x v="8"/>
  </r>
  <r>
    <x v="0"/>
    <x v="6"/>
    <x v="6"/>
    <x v="8"/>
    <x v="8"/>
    <x v="8"/>
    <x v="16"/>
    <x v="82"/>
    <x v="113"/>
    <x v="103"/>
    <x v="115"/>
    <x v="80"/>
    <x v="119"/>
    <x v="8"/>
  </r>
  <r>
    <x v="0"/>
    <x v="6"/>
    <x v="6"/>
    <x v="4"/>
    <x v="4"/>
    <x v="4"/>
    <x v="17"/>
    <x v="118"/>
    <x v="114"/>
    <x v="104"/>
    <x v="116"/>
    <x v="55"/>
    <x v="120"/>
    <x v="8"/>
  </r>
  <r>
    <x v="0"/>
    <x v="6"/>
    <x v="6"/>
    <x v="14"/>
    <x v="14"/>
    <x v="14"/>
    <x v="18"/>
    <x v="119"/>
    <x v="18"/>
    <x v="105"/>
    <x v="117"/>
    <x v="66"/>
    <x v="121"/>
    <x v="8"/>
  </r>
  <r>
    <x v="0"/>
    <x v="6"/>
    <x v="6"/>
    <x v="17"/>
    <x v="17"/>
    <x v="17"/>
    <x v="19"/>
    <x v="120"/>
    <x v="115"/>
    <x v="65"/>
    <x v="118"/>
    <x v="75"/>
    <x v="122"/>
    <x v="8"/>
  </r>
  <r>
    <x v="0"/>
    <x v="7"/>
    <x v="7"/>
    <x v="0"/>
    <x v="0"/>
    <x v="0"/>
    <x v="0"/>
    <x v="121"/>
    <x v="116"/>
    <x v="106"/>
    <x v="119"/>
    <x v="55"/>
    <x v="123"/>
    <x v="8"/>
  </r>
  <r>
    <x v="0"/>
    <x v="7"/>
    <x v="7"/>
    <x v="1"/>
    <x v="1"/>
    <x v="1"/>
    <x v="1"/>
    <x v="122"/>
    <x v="117"/>
    <x v="63"/>
    <x v="120"/>
    <x v="110"/>
    <x v="124"/>
    <x v="8"/>
  </r>
  <r>
    <x v="0"/>
    <x v="7"/>
    <x v="7"/>
    <x v="2"/>
    <x v="2"/>
    <x v="2"/>
    <x v="2"/>
    <x v="64"/>
    <x v="118"/>
    <x v="87"/>
    <x v="121"/>
    <x v="56"/>
    <x v="125"/>
    <x v="8"/>
  </r>
  <r>
    <x v="0"/>
    <x v="7"/>
    <x v="7"/>
    <x v="3"/>
    <x v="3"/>
    <x v="3"/>
    <x v="3"/>
    <x v="123"/>
    <x v="119"/>
    <x v="107"/>
    <x v="122"/>
    <x v="66"/>
    <x v="126"/>
    <x v="8"/>
  </r>
  <r>
    <x v="0"/>
    <x v="7"/>
    <x v="7"/>
    <x v="7"/>
    <x v="7"/>
    <x v="7"/>
    <x v="4"/>
    <x v="66"/>
    <x v="120"/>
    <x v="108"/>
    <x v="123"/>
    <x v="56"/>
    <x v="125"/>
    <x v="8"/>
  </r>
  <r>
    <x v="0"/>
    <x v="7"/>
    <x v="7"/>
    <x v="11"/>
    <x v="11"/>
    <x v="11"/>
    <x v="5"/>
    <x v="124"/>
    <x v="121"/>
    <x v="79"/>
    <x v="124"/>
    <x v="63"/>
    <x v="127"/>
    <x v="8"/>
  </r>
  <r>
    <x v="0"/>
    <x v="7"/>
    <x v="7"/>
    <x v="9"/>
    <x v="9"/>
    <x v="9"/>
    <x v="6"/>
    <x v="125"/>
    <x v="122"/>
    <x v="80"/>
    <x v="71"/>
    <x v="111"/>
    <x v="128"/>
    <x v="8"/>
  </r>
  <r>
    <x v="0"/>
    <x v="7"/>
    <x v="7"/>
    <x v="5"/>
    <x v="5"/>
    <x v="5"/>
    <x v="7"/>
    <x v="114"/>
    <x v="91"/>
    <x v="75"/>
    <x v="125"/>
    <x v="112"/>
    <x v="129"/>
    <x v="8"/>
  </r>
  <r>
    <x v="0"/>
    <x v="7"/>
    <x v="7"/>
    <x v="10"/>
    <x v="10"/>
    <x v="10"/>
    <x v="8"/>
    <x v="69"/>
    <x v="123"/>
    <x v="65"/>
    <x v="126"/>
    <x v="113"/>
    <x v="130"/>
    <x v="8"/>
  </r>
  <r>
    <x v="0"/>
    <x v="7"/>
    <x v="7"/>
    <x v="18"/>
    <x v="18"/>
    <x v="18"/>
    <x v="9"/>
    <x v="54"/>
    <x v="124"/>
    <x v="76"/>
    <x v="127"/>
    <x v="47"/>
    <x v="131"/>
    <x v="8"/>
  </r>
  <r>
    <x v="0"/>
    <x v="7"/>
    <x v="7"/>
    <x v="6"/>
    <x v="6"/>
    <x v="6"/>
    <x v="10"/>
    <x v="126"/>
    <x v="125"/>
    <x v="48"/>
    <x v="128"/>
    <x v="114"/>
    <x v="132"/>
    <x v="8"/>
  </r>
  <r>
    <x v="0"/>
    <x v="7"/>
    <x v="7"/>
    <x v="12"/>
    <x v="12"/>
    <x v="12"/>
    <x v="11"/>
    <x v="127"/>
    <x v="49"/>
    <x v="78"/>
    <x v="129"/>
    <x v="114"/>
    <x v="132"/>
    <x v="8"/>
  </r>
  <r>
    <x v="0"/>
    <x v="7"/>
    <x v="7"/>
    <x v="13"/>
    <x v="13"/>
    <x v="13"/>
    <x v="11"/>
    <x v="127"/>
    <x v="49"/>
    <x v="100"/>
    <x v="130"/>
    <x v="55"/>
    <x v="123"/>
    <x v="8"/>
  </r>
  <r>
    <x v="0"/>
    <x v="7"/>
    <x v="7"/>
    <x v="29"/>
    <x v="29"/>
    <x v="29"/>
    <x v="13"/>
    <x v="128"/>
    <x v="126"/>
    <x v="65"/>
    <x v="126"/>
    <x v="109"/>
    <x v="133"/>
    <x v="8"/>
  </r>
  <r>
    <x v="0"/>
    <x v="7"/>
    <x v="7"/>
    <x v="28"/>
    <x v="28"/>
    <x v="28"/>
    <x v="14"/>
    <x v="129"/>
    <x v="36"/>
    <x v="76"/>
    <x v="127"/>
    <x v="115"/>
    <x v="134"/>
    <x v="8"/>
  </r>
  <r>
    <x v="0"/>
    <x v="7"/>
    <x v="7"/>
    <x v="16"/>
    <x v="16"/>
    <x v="16"/>
    <x v="14"/>
    <x v="129"/>
    <x v="36"/>
    <x v="54"/>
    <x v="131"/>
    <x v="67"/>
    <x v="135"/>
    <x v="8"/>
  </r>
  <r>
    <x v="0"/>
    <x v="7"/>
    <x v="7"/>
    <x v="15"/>
    <x v="15"/>
    <x v="15"/>
    <x v="16"/>
    <x v="130"/>
    <x v="127"/>
    <x v="75"/>
    <x v="125"/>
    <x v="115"/>
    <x v="134"/>
    <x v="8"/>
  </r>
  <r>
    <x v="0"/>
    <x v="7"/>
    <x v="7"/>
    <x v="30"/>
    <x v="30"/>
    <x v="30"/>
    <x v="17"/>
    <x v="131"/>
    <x v="128"/>
    <x v="83"/>
    <x v="132"/>
    <x v="109"/>
    <x v="133"/>
    <x v="8"/>
  </r>
  <r>
    <x v="0"/>
    <x v="7"/>
    <x v="7"/>
    <x v="31"/>
    <x v="31"/>
    <x v="31"/>
    <x v="18"/>
    <x v="83"/>
    <x v="129"/>
    <x v="109"/>
    <x v="133"/>
    <x v="80"/>
    <x v="136"/>
    <x v="8"/>
  </r>
  <r>
    <x v="0"/>
    <x v="7"/>
    <x v="7"/>
    <x v="14"/>
    <x v="14"/>
    <x v="14"/>
    <x v="19"/>
    <x v="84"/>
    <x v="130"/>
    <x v="52"/>
    <x v="99"/>
    <x v="55"/>
    <x v="123"/>
    <x v="8"/>
  </r>
  <r>
    <x v="0"/>
    <x v="8"/>
    <x v="8"/>
    <x v="1"/>
    <x v="1"/>
    <x v="1"/>
    <x v="0"/>
    <x v="132"/>
    <x v="131"/>
    <x v="110"/>
    <x v="134"/>
    <x v="116"/>
    <x v="137"/>
    <x v="5"/>
  </r>
  <r>
    <x v="0"/>
    <x v="8"/>
    <x v="8"/>
    <x v="0"/>
    <x v="0"/>
    <x v="0"/>
    <x v="1"/>
    <x v="133"/>
    <x v="132"/>
    <x v="111"/>
    <x v="135"/>
    <x v="113"/>
    <x v="138"/>
    <x v="8"/>
  </r>
  <r>
    <x v="0"/>
    <x v="8"/>
    <x v="8"/>
    <x v="4"/>
    <x v="4"/>
    <x v="4"/>
    <x v="2"/>
    <x v="134"/>
    <x v="133"/>
    <x v="112"/>
    <x v="136"/>
    <x v="117"/>
    <x v="139"/>
    <x v="8"/>
  </r>
  <r>
    <x v="0"/>
    <x v="8"/>
    <x v="8"/>
    <x v="3"/>
    <x v="3"/>
    <x v="3"/>
    <x v="3"/>
    <x v="135"/>
    <x v="134"/>
    <x v="113"/>
    <x v="137"/>
    <x v="118"/>
    <x v="140"/>
    <x v="8"/>
  </r>
  <r>
    <x v="0"/>
    <x v="8"/>
    <x v="8"/>
    <x v="2"/>
    <x v="2"/>
    <x v="2"/>
    <x v="4"/>
    <x v="136"/>
    <x v="135"/>
    <x v="114"/>
    <x v="138"/>
    <x v="43"/>
    <x v="141"/>
    <x v="8"/>
  </r>
  <r>
    <x v="0"/>
    <x v="8"/>
    <x v="8"/>
    <x v="15"/>
    <x v="15"/>
    <x v="15"/>
    <x v="5"/>
    <x v="75"/>
    <x v="136"/>
    <x v="55"/>
    <x v="139"/>
    <x v="119"/>
    <x v="142"/>
    <x v="8"/>
  </r>
  <r>
    <x v="0"/>
    <x v="8"/>
    <x v="8"/>
    <x v="8"/>
    <x v="8"/>
    <x v="8"/>
    <x v="6"/>
    <x v="137"/>
    <x v="137"/>
    <x v="93"/>
    <x v="140"/>
    <x v="120"/>
    <x v="121"/>
    <x v="5"/>
  </r>
  <r>
    <x v="0"/>
    <x v="8"/>
    <x v="8"/>
    <x v="6"/>
    <x v="6"/>
    <x v="6"/>
    <x v="7"/>
    <x v="138"/>
    <x v="138"/>
    <x v="113"/>
    <x v="137"/>
    <x v="75"/>
    <x v="143"/>
    <x v="8"/>
  </r>
  <r>
    <x v="0"/>
    <x v="8"/>
    <x v="8"/>
    <x v="12"/>
    <x v="12"/>
    <x v="12"/>
    <x v="8"/>
    <x v="105"/>
    <x v="139"/>
    <x v="115"/>
    <x v="141"/>
    <x v="46"/>
    <x v="144"/>
    <x v="8"/>
  </r>
  <r>
    <x v="0"/>
    <x v="8"/>
    <x v="8"/>
    <x v="14"/>
    <x v="14"/>
    <x v="14"/>
    <x v="9"/>
    <x v="139"/>
    <x v="140"/>
    <x v="54"/>
    <x v="14"/>
    <x v="121"/>
    <x v="145"/>
    <x v="8"/>
  </r>
  <r>
    <x v="0"/>
    <x v="8"/>
    <x v="8"/>
    <x v="17"/>
    <x v="17"/>
    <x v="17"/>
    <x v="10"/>
    <x v="140"/>
    <x v="141"/>
    <x v="78"/>
    <x v="142"/>
    <x v="43"/>
    <x v="141"/>
    <x v="8"/>
  </r>
  <r>
    <x v="0"/>
    <x v="8"/>
    <x v="8"/>
    <x v="7"/>
    <x v="7"/>
    <x v="7"/>
    <x v="11"/>
    <x v="141"/>
    <x v="142"/>
    <x v="116"/>
    <x v="143"/>
    <x v="51"/>
    <x v="146"/>
    <x v="8"/>
  </r>
  <r>
    <x v="0"/>
    <x v="8"/>
    <x v="8"/>
    <x v="22"/>
    <x v="22"/>
    <x v="22"/>
    <x v="12"/>
    <x v="142"/>
    <x v="63"/>
    <x v="69"/>
    <x v="144"/>
    <x v="40"/>
    <x v="76"/>
    <x v="8"/>
  </r>
  <r>
    <x v="0"/>
    <x v="8"/>
    <x v="8"/>
    <x v="16"/>
    <x v="16"/>
    <x v="16"/>
    <x v="13"/>
    <x v="143"/>
    <x v="143"/>
    <x v="54"/>
    <x v="14"/>
    <x v="122"/>
    <x v="147"/>
    <x v="8"/>
  </r>
  <r>
    <x v="0"/>
    <x v="8"/>
    <x v="8"/>
    <x v="5"/>
    <x v="5"/>
    <x v="5"/>
    <x v="14"/>
    <x v="69"/>
    <x v="36"/>
    <x v="70"/>
    <x v="145"/>
    <x v="63"/>
    <x v="135"/>
    <x v="5"/>
  </r>
  <r>
    <x v="0"/>
    <x v="8"/>
    <x v="8"/>
    <x v="21"/>
    <x v="21"/>
    <x v="21"/>
    <x v="15"/>
    <x v="54"/>
    <x v="81"/>
    <x v="50"/>
    <x v="37"/>
    <x v="123"/>
    <x v="148"/>
    <x v="8"/>
  </r>
  <r>
    <x v="0"/>
    <x v="8"/>
    <x v="8"/>
    <x v="18"/>
    <x v="18"/>
    <x v="18"/>
    <x v="16"/>
    <x v="72"/>
    <x v="144"/>
    <x v="75"/>
    <x v="146"/>
    <x v="79"/>
    <x v="12"/>
    <x v="8"/>
  </r>
  <r>
    <x v="0"/>
    <x v="8"/>
    <x v="8"/>
    <x v="20"/>
    <x v="20"/>
    <x v="20"/>
    <x v="17"/>
    <x v="57"/>
    <x v="145"/>
    <x v="50"/>
    <x v="37"/>
    <x v="61"/>
    <x v="149"/>
    <x v="5"/>
  </r>
  <r>
    <x v="0"/>
    <x v="8"/>
    <x v="8"/>
    <x v="10"/>
    <x v="10"/>
    <x v="10"/>
    <x v="18"/>
    <x v="58"/>
    <x v="146"/>
    <x v="46"/>
    <x v="28"/>
    <x v="66"/>
    <x v="150"/>
    <x v="8"/>
  </r>
  <r>
    <x v="0"/>
    <x v="8"/>
    <x v="8"/>
    <x v="32"/>
    <x v="32"/>
    <x v="32"/>
    <x v="19"/>
    <x v="129"/>
    <x v="147"/>
    <x v="65"/>
    <x v="147"/>
    <x v="78"/>
    <x v="151"/>
    <x v="8"/>
  </r>
  <r>
    <x v="0"/>
    <x v="9"/>
    <x v="9"/>
    <x v="1"/>
    <x v="1"/>
    <x v="1"/>
    <x v="0"/>
    <x v="144"/>
    <x v="148"/>
    <x v="117"/>
    <x v="134"/>
    <x v="124"/>
    <x v="152"/>
    <x v="8"/>
  </r>
  <r>
    <x v="0"/>
    <x v="9"/>
    <x v="9"/>
    <x v="0"/>
    <x v="0"/>
    <x v="0"/>
    <x v="1"/>
    <x v="145"/>
    <x v="149"/>
    <x v="118"/>
    <x v="148"/>
    <x v="49"/>
    <x v="28"/>
    <x v="8"/>
  </r>
  <r>
    <x v="0"/>
    <x v="9"/>
    <x v="9"/>
    <x v="3"/>
    <x v="3"/>
    <x v="3"/>
    <x v="2"/>
    <x v="62"/>
    <x v="150"/>
    <x v="119"/>
    <x v="123"/>
    <x v="121"/>
    <x v="153"/>
    <x v="8"/>
  </r>
  <r>
    <x v="0"/>
    <x v="9"/>
    <x v="9"/>
    <x v="15"/>
    <x v="15"/>
    <x v="15"/>
    <x v="3"/>
    <x v="146"/>
    <x v="151"/>
    <x v="120"/>
    <x v="149"/>
    <x v="125"/>
    <x v="154"/>
    <x v="8"/>
  </r>
  <r>
    <x v="0"/>
    <x v="9"/>
    <x v="9"/>
    <x v="24"/>
    <x v="24"/>
    <x v="24"/>
    <x v="4"/>
    <x v="147"/>
    <x v="152"/>
    <x v="74"/>
    <x v="150"/>
    <x v="107"/>
    <x v="47"/>
    <x v="8"/>
  </r>
  <r>
    <x v="0"/>
    <x v="9"/>
    <x v="9"/>
    <x v="4"/>
    <x v="4"/>
    <x v="4"/>
    <x v="5"/>
    <x v="148"/>
    <x v="77"/>
    <x v="86"/>
    <x v="151"/>
    <x v="69"/>
    <x v="155"/>
    <x v="8"/>
  </r>
  <r>
    <x v="0"/>
    <x v="9"/>
    <x v="9"/>
    <x v="2"/>
    <x v="2"/>
    <x v="2"/>
    <x v="6"/>
    <x v="149"/>
    <x v="153"/>
    <x v="121"/>
    <x v="152"/>
    <x v="78"/>
    <x v="156"/>
    <x v="8"/>
  </r>
  <r>
    <x v="0"/>
    <x v="9"/>
    <x v="9"/>
    <x v="16"/>
    <x v="16"/>
    <x v="16"/>
    <x v="7"/>
    <x v="46"/>
    <x v="154"/>
    <x v="55"/>
    <x v="153"/>
    <x v="110"/>
    <x v="157"/>
    <x v="8"/>
  </r>
  <r>
    <x v="0"/>
    <x v="9"/>
    <x v="9"/>
    <x v="13"/>
    <x v="13"/>
    <x v="13"/>
    <x v="8"/>
    <x v="48"/>
    <x v="155"/>
    <x v="102"/>
    <x v="154"/>
    <x v="123"/>
    <x v="158"/>
    <x v="8"/>
  </r>
  <r>
    <x v="0"/>
    <x v="9"/>
    <x v="9"/>
    <x v="7"/>
    <x v="7"/>
    <x v="7"/>
    <x v="9"/>
    <x v="114"/>
    <x v="156"/>
    <x v="91"/>
    <x v="96"/>
    <x v="115"/>
    <x v="159"/>
    <x v="8"/>
  </r>
  <r>
    <x v="0"/>
    <x v="9"/>
    <x v="9"/>
    <x v="18"/>
    <x v="18"/>
    <x v="18"/>
    <x v="10"/>
    <x v="143"/>
    <x v="108"/>
    <x v="76"/>
    <x v="155"/>
    <x v="63"/>
    <x v="160"/>
    <x v="8"/>
  </r>
  <r>
    <x v="0"/>
    <x v="9"/>
    <x v="9"/>
    <x v="12"/>
    <x v="12"/>
    <x v="12"/>
    <x v="11"/>
    <x v="69"/>
    <x v="157"/>
    <x v="53"/>
    <x v="156"/>
    <x v="79"/>
    <x v="32"/>
    <x v="8"/>
  </r>
  <r>
    <x v="0"/>
    <x v="9"/>
    <x v="9"/>
    <x v="14"/>
    <x v="14"/>
    <x v="14"/>
    <x v="11"/>
    <x v="69"/>
    <x v="157"/>
    <x v="67"/>
    <x v="31"/>
    <x v="94"/>
    <x v="65"/>
    <x v="8"/>
  </r>
  <r>
    <x v="0"/>
    <x v="9"/>
    <x v="9"/>
    <x v="6"/>
    <x v="6"/>
    <x v="6"/>
    <x v="13"/>
    <x v="53"/>
    <x v="158"/>
    <x v="122"/>
    <x v="157"/>
    <x v="64"/>
    <x v="161"/>
    <x v="8"/>
  </r>
  <r>
    <x v="0"/>
    <x v="9"/>
    <x v="9"/>
    <x v="9"/>
    <x v="9"/>
    <x v="9"/>
    <x v="14"/>
    <x v="70"/>
    <x v="35"/>
    <x v="83"/>
    <x v="158"/>
    <x v="68"/>
    <x v="81"/>
    <x v="8"/>
  </r>
  <r>
    <x v="0"/>
    <x v="9"/>
    <x v="9"/>
    <x v="5"/>
    <x v="5"/>
    <x v="5"/>
    <x v="15"/>
    <x v="80"/>
    <x v="126"/>
    <x v="68"/>
    <x v="159"/>
    <x v="94"/>
    <x v="65"/>
    <x v="8"/>
  </r>
  <r>
    <x v="0"/>
    <x v="9"/>
    <x v="9"/>
    <x v="10"/>
    <x v="10"/>
    <x v="10"/>
    <x v="15"/>
    <x v="80"/>
    <x v="126"/>
    <x v="50"/>
    <x v="146"/>
    <x v="52"/>
    <x v="133"/>
    <x v="8"/>
  </r>
  <r>
    <x v="0"/>
    <x v="9"/>
    <x v="9"/>
    <x v="20"/>
    <x v="20"/>
    <x v="20"/>
    <x v="17"/>
    <x v="81"/>
    <x v="51"/>
    <x v="82"/>
    <x v="160"/>
    <x v="72"/>
    <x v="43"/>
    <x v="8"/>
  </r>
  <r>
    <x v="0"/>
    <x v="9"/>
    <x v="9"/>
    <x v="17"/>
    <x v="17"/>
    <x v="17"/>
    <x v="18"/>
    <x v="73"/>
    <x v="83"/>
    <x v="76"/>
    <x v="155"/>
    <x v="57"/>
    <x v="87"/>
    <x v="8"/>
  </r>
  <r>
    <x v="0"/>
    <x v="9"/>
    <x v="9"/>
    <x v="8"/>
    <x v="8"/>
    <x v="8"/>
    <x v="19"/>
    <x v="59"/>
    <x v="159"/>
    <x v="53"/>
    <x v="156"/>
    <x v="44"/>
    <x v="162"/>
    <x v="5"/>
  </r>
  <r>
    <x v="0"/>
    <x v="10"/>
    <x v="10"/>
    <x v="0"/>
    <x v="0"/>
    <x v="0"/>
    <x v="0"/>
    <x v="150"/>
    <x v="160"/>
    <x v="123"/>
    <x v="161"/>
    <x v="86"/>
    <x v="163"/>
    <x v="8"/>
  </r>
  <r>
    <x v="0"/>
    <x v="10"/>
    <x v="10"/>
    <x v="1"/>
    <x v="1"/>
    <x v="1"/>
    <x v="1"/>
    <x v="151"/>
    <x v="161"/>
    <x v="73"/>
    <x v="162"/>
    <x v="126"/>
    <x v="164"/>
    <x v="5"/>
  </r>
  <r>
    <x v="0"/>
    <x v="10"/>
    <x v="10"/>
    <x v="11"/>
    <x v="11"/>
    <x v="11"/>
    <x v="2"/>
    <x v="152"/>
    <x v="162"/>
    <x v="124"/>
    <x v="163"/>
    <x v="127"/>
    <x v="165"/>
    <x v="8"/>
  </r>
  <r>
    <x v="0"/>
    <x v="10"/>
    <x v="10"/>
    <x v="2"/>
    <x v="2"/>
    <x v="2"/>
    <x v="3"/>
    <x v="153"/>
    <x v="163"/>
    <x v="125"/>
    <x v="164"/>
    <x v="55"/>
    <x v="166"/>
    <x v="8"/>
  </r>
  <r>
    <x v="0"/>
    <x v="10"/>
    <x v="10"/>
    <x v="29"/>
    <x v="29"/>
    <x v="29"/>
    <x v="4"/>
    <x v="123"/>
    <x v="164"/>
    <x v="77"/>
    <x v="79"/>
    <x v="121"/>
    <x v="167"/>
    <x v="8"/>
  </r>
  <r>
    <x v="0"/>
    <x v="10"/>
    <x v="10"/>
    <x v="9"/>
    <x v="9"/>
    <x v="9"/>
    <x v="5"/>
    <x v="139"/>
    <x v="165"/>
    <x v="67"/>
    <x v="14"/>
    <x v="88"/>
    <x v="168"/>
    <x v="8"/>
  </r>
  <r>
    <x v="0"/>
    <x v="10"/>
    <x v="10"/>
    <x v="7"/>
    <x v="7"/>
    <x v="7"/>
    <x v="6"/>
    <x v="141"/>
    <x v="166"/>
    <x v="95"/>
    <x v="122"/>
    <x v="86"/>
    <x v="163"/>
    <x v="8"/>
  </r>
  <r>
    <x v="0"/>
    <x v="10"/>
    <x v="10"/>
    <x v="5"/>
    <x v="5"/>
    <x v="5"/>
    <x v="7"/>
    <x v="154"/>
    <x v="167"/>
    <x v="104"/>
    <x v="133"/>
    <x v="128"/>
    <x v="169"/>
    <x v="8"/>
  </r>
  <r>
    <x v="0"/>
    <x v="10"/>
    <x v="10"/>
    <x v="3"/>
    <x v="3"/>
    <x v="3"/>
    <x v="8"/>
    <x v="155"/>
    <x v="168"/>
    <x v="126"/>
    <x v="165"/>
    <x v="109"/>
    <x v="123"/>
    <x v="8"/>
  </r>
  <r>
    <x v="0"/>
    <x v="10"/>
    <x v="10"/>
    <x v="28"/>
    <x v="28"/>
    <x v="28"/>
    <x v="9"/>
    <x v="78"/>
    <x v="169"/>
    <x v="58"/>
    <x v="11"/>
    <x v="76"/>
    <x v="170"/>
    <x v="8"/>
  </r>
  <r>
    <x v="0"/>
    <x v="10"/>
    <x v="10"/>
    <x v="10"/>
    <x v="10"/>
    <x v="10"/>
    <x v="10"/>
    <x v="156"/>
    <x v="62"/>
    <x v="81"/>
    <x v="166"/>
    <x v="94"/>
    <x v="171"/>
    <x v="8"/>
  </r>
  <r>
    <x v="0"/>
    <x v="10"/>
    <x v="10"/>
    <x v="6"/>
    <x v="6"/>
    <x v="6"/>
    <x v="11"/>
    <x v="157"/>
    <x v="8"/>
    <x v="93"/>
    <x v="167"/>
    <x v="85"/>
    <x v="172"/>
    <x v="8"/>
  </r>
  <r>
    <x v="0"/>
    <x v="10"/>
    <x v="10"/>
    <x v="18"/>
    <x v="18"/>
    <x v="18"/>
    <x v="12"/>
    <x v="158"/>
    <x v="125"/>
    <x v="81"/>
    <x v="166"/>
    <x v="52"/>
    <x v="173"/>
    <x v="8"/>
  </r>
  <r>
    <x v="0"/>
    <x v="10"/>
    <x v="10"/>
    <x v="13"/>
    <x v="13"/>
    <x v="13"/>
    <x v="13"/>
    <x v="54"/>
    <x v="170"/>
    <x v="79"/>
    <x v="168"/>
    <x v="115"/>
    <x v="174"/>
    <x v="8"/>
  </r>
  <r>
    <x v="0"/>
    <x v="10"/>
    <x v="10"/>
    <x v="16"/>
    <x v="16"/>
    <x v="16"/>
    <x v="14"/>
    <x v="80"/>
    <x v="32"/>
    <x v="65"/>
    <x v="169"/>
    <x v="47"/>
    <x v="175"/>
    <x v="8"/>
  </r>
  <r>
    <x v="0"/>
    <x v="10"/>
    <x v="10"/>
    <x v="8"/>
    <x v="8"/>
    <x v="8"/>
    <x v="15"/>
    <x v="72"/>
    <x v="34"/>
    <x v="127"/>
    <x v="170"/>
    <x v="77"/>
    <x v="176"/>
    <x v="8"/>
  </r>
  <r>
    <x v="0"/>
    <x v="10"/>
    <x v="10"/>
    <x v="30"/>
    <x v="30"/>
    <x v="30"/>
    <x v="16"/>
    <x v="129"/>
    <x v="171"/>
    <x v="70"/>
    <x v="32"/>
    <x v="129"/>
    <x v="177"/>
    <x v="8"/>
  </r>
  <r>
    <x v="0"/>
    <x v="10"/>
    <x v="10"/>
    <x v="4"/>
    <x v="4"/>
    <x v="4"/>
    <x v="17"/>
    <x v="119"/>
    <x v="172"/>
    <x v="109"/>
    <x v="33"/>
    <x v="44"/>
    <x v="178"/>
    <x v="8"/>
  </r>
  <r>
    <x v="0"/>
    <x v="10"/>
    <x v="10"/>
    <x v="14"/>
    <x v="14"/>
    <x v="14"/>
    <x v="18"/>
    <x v="159"/>
    <x v="173"/>
    <x v="52"/>
    <x v="18"/>
    <x v="105"/>
    <x v="149"/>
    <x v="8"/>
  </r>
  <r>
    <x v="0"/>
    <x v="10"/>
    <x v="10"/>
    <x v="19"/>
    <x v="19"/>
    <x v="19"/>
    <x v="18"/>
    <x v="159"/>
    <x v="173"/>
    <x v="56"/>
    <x v="55"/>
    <x v="54"/>
    <x v="179"/>
    <x v="5"/>
  </r>
  <r>
    <x v="0"/>
    <x v="11"/>
    <x v="11"/>
    <x v="1"/>
    <x v="1"/>
    <x v="1"/>
    <x v="0"/>
    <x v="160"/>
    <x v="174"/>
    <x v="39"/>
    <x v="171"/>
    <x v="130"/>
    <x v="180"/>
    <x v="5"/>
  </r>
  <r>
    <x v="0"/>
    <x v="11"/>
    <x v="11"/>
    <x v="0"/>
    <x v="0"/>
    <x v="0"/>
    <x v="1"/>
    <x v="161"/>
    <x v="175"/>
    <x v="128"/>
    <x v="172"/>
    <x v="66"/>
    <x v="149"/>
    <x v="8"/>
  </r>
  <r>
    <x v="0"/>
    <x v="11"/>
    <x v="11"/>
    <x v="2"/>
    <x v="2"/>
    <x v="2"/>
    <x v="2"/>
    <x v="162"/>
    <x v="176"/>
    <x v="129"/>
    <x v="173"/>
    <x v="71"/>
    <x v="181"/>
    <x v="8"/>
  </r>
  <r>
    <x v="0"/>
    <x v="11"/>
    <x v="11"/>
    <x v="10"/>
    <x v="10"/>
    <x v="10"/>
    <x v="3"/>
    <x v="163"/>
    <x v="59"/>
    <x v="57"/>
    <x v="174"/>
    <x v="131"/>
    <x v="182"/>
    <x v="8"/>
  </r>
  <r>
    <x v="0"/>
    <x v="11"/>
    <x v="11"/>
    <x v="6"/>
    <x v="6"/>
    <x v="6"/>
    <x v="4"/>
    <x v="164"/>
    <x v="177"/>
    <x v="61"/>
    <x v="175"/>
    <x v="74"/>
    <x v="183"/>
    <x v="8"/>
  </r>
  <r>
    <x v="0"/>
    <x v="11"/>
    <x v="11"/>
    <x v="9"/>
    <x v="9"/>
    <x v="9"/>
    <x v="5"/>
    <x v="165"/>
    <x v="178"/>
    <x v="49"/>
    <x v="147"/>
    <x v="132"/>
    <x v="184"/>
    <x v="8"/>
  </r>
  <r>
    <x v="0"/>
    <x v="11"/>
    <x v="11"/>
    <x v="5"/>
    <x v="5"/>
    <x v="5"/>
    <x v="6"/>
    <x v="166"/>
    <x v="179"/>
    <x v="100"/>
    <x v="176"/>
    <x v="133"/>
    <x v="185"/>
    <x v="8"/>
  </r>
  <r>
    <x v="0"/>
    <x v="11"/>
    <x v="11"/>
    <x v="3"/>
    <x v="3"/>
    <x v="3"/>
    <x v="7"/>
    <x v="167"/>
    <x v="180"/>
    <x v="130"/>
    <x v="177"/>
    <x v="79"/>
    <x v="186"/>
    <x v="8"/>
  </r>
  <r>
    <x v="0"/>
    <x v="11"/>
    <x v="11"/>
    <x v="7"/>
    <x v="7"/>
    <x v="7"/>
    <x v="8"/>
    <x v="45"/>
    <x v="181"/>
    <x v="130"/>
    <x v="177"/>
    <x v="75"/>
    <x v="151"/>
    <x v="8"/>
  </r>
  <r>
    <x v="0"/>
    <x v="11"/>
    <x v="11"/>
    <x v="4"/>
    <x v="4"/>
    <x v="4"/>
    <x v="9"/>
    <x v="168"/>
    <x v="182"/>
    <x v="116"/>
    <x v="178"/>
    <x v="103"/>
    <x v="66"/>
    <x v="8"/>
  </r>
  <r>
    <x v="0"/>
    <x v="11"/>
    <x v="11"/>
    <x v="8"/>
    <x v="8"/>
    <x v="8"/>
    <x v="10"/>
    <x v="67"/>
    <x v="183"/>
    <x v="63"/>
    <x v="179"/>
    <x v="115"/>
    <x v="187"/>
    <x v="8"/>
  </r>
  <r>
    <x v="0"/>
    <x v="11"/>
    <x v="11"/>
    <x v="16"/>
    <x v="16"/>
    <x v="16"/>
    <x v="11"/>
    <x v="49"/>
    <x v="184"/>
    <x v="52"/>
    <x v="38"/>
    <x v="134"/>
    <x v="188"/>
    <x v="8"/>
  </r>
  <r>
    <x v="0"/>
    <x v="11"/>
    <x v="11"/>
    <x v="14"/>
    <x v="14"/>
    <x v="14"/>
    <x v="11"/>
    <x v="49"/>
    <x v="184"/>
    <x v="65"/>
    <x v="69"/>
    <x v="62"/>
    <x v="189"/>
    <x v="8"/>
  </r>
  <r>
    <x v="0"/>
    <x v="11"/>
    <x v="11"/>
    <x v="17"/>
    <x v="17"/>
    <x v="17"/>
    <x v="13"/>
    <x v="51"/>
    <x v="185"/>
    <x v="53"/>
    <x v="139"/>
    <x v="135"/>
    <x v="190"/>
    <x v="8"/>
  </r>
  <r>
    <x v="0"/>
    <x v="11"/>
    <x v="11"/>
    <x v="15"/>
    <x v="15"/>
    <x v="15"/>
    <x v="14"/>
    <x v="80"/>
    <x v="186"/>
    <x v="46"/>
    <x v="180"/>
    <x v="72"/>
    <x v="191"/>
    <x v="8"/>
  </r>
  <r>
    <x v="0"/>
    <x v="11"/>
    <x v="11"/>
    <x v="19"/>
    <x v="19"/>
    <x v="19"/>
    <x v="15"/>
    <x v="126"/>
    <x v="83"/>
    <x v="56"/>
    <x v="55"/>
    <x v="136"/>
    <x v="192"/>
    <x v="5"/>
  </r>
  <r>
    <x v="0"/>
    <x v="11"/>
    <x v="11"/>
    <x v="13"/>
    <x v="13"/>
    <x v="13"/>
    <x v="16"/>
    <x v="72"/>
    <x v="172"/>
    <x v="120"/>
    <x v="181"/>
    <x v="82"/>
    <x v="193"/>
    <x v="8"/>
  </r>
  <r>
    <x v="0"/>
    <x v="11"/>
    <x v="11"/>
    <x v="32"/>
    <x v="32"/>
    <x v="32"/>
    <x v="16"/>
    <x v="72"/>
    <x v="172"/>
    <x v="58"/>
    <x v="182"/>
    <x v="67"/>
    <x v="25"/>
    <x v="8"/>
  </r>
  <r>
    <x v="0"/>
    <x v="11"/>
    <x v="11"/>
    <x v="20"/>
    <x v="20"/>
    <x v="20"/>
    <x v="18"/>
    <x v="116"/>
    <x v="187"/>
    <x v="83"/>
    <x v="183"/>
    <x v="137"/>
    <x v="194"/>
    <x v="8"/>
  </r>
  <r>
    <x v="0"/>
    <x v="11"/>
    <x v="11"/>
    <x v="12"/>
    <x v="12"/>
    <x v="12"/>
    <x v="19"/>
    <x v="57"/>
    <x v="173"/>
    <x v="115"/>
    <x v="184"/>
    <x v="44"/>
    <x v="195"/>
    <x v="8"/>
  </r>
  <r>
    <x v="0"/>
    <x v="12"/>
    <x v="12"/>
    <x v="0"/>
    <x v="0"/>
    <x v="0"/>
    <x v="0"/>
    <x v="169"/>
    <x v="188"/>
    <x v="131"/>
    <x v="185"/>
    <x v="109"/>
    <x v="196"/>
    <x v="8"/>
  </r>
  <r>
    <x v="0"/>
    <x v="12"/>
    <x v="12"/>
    <x v="1"/>
    <x v="1"/>
    <x v="1"/>
    <x v="1"/>
    <x v="170"/>
    <x v="189"/>
    <x v="132"/>
    <x v="186"/>
    <x v="138"/>
    <x v="197"/>
    <x v="8"/>
  </r>
  <r>
    <x v="0"/>
    <x v="12"/>
    <x v="12"/>
    <x v="2"/>
    <x v="2"/>
    <x v="2"/>
    <x v="2"/>
    <x v="171"/>
    <x v="190"/>
    <x v="96"/>
    <x v="187"/>
    <x v="139"/>
    <x v="198"/>
    <x v="8"/>
  </r>
  <r>
    <x v="0"/>
    <x v="12"/>
    <x v="12"/>
    <x v="3"/>
    <x v="3"/>
    <x v="3"/>
    <x v="3"/>
    <x v="172"/>
    <x v="191"/>
    <x v="133"/>
    <x v="188"/>
    <x v="120"/>
    <x v="199"/>
    <x v="8"/>
  </r>
  <r>
    <x v="0"/>
    <x v="12"/>
    <x v="12"/>
    <x v="22"/>
    <x v="22"/>
    <x v="22"/>
    <x v="4"/>
    <x v="122"/>
    <x v="192"/>
    <x v="134"/>
    <x v="189"/>
    <x v="140"/>
    <x v="200"/>
    <x v="8"/>
  </r>
  <r>
    <x v="0"/>
    <x v="12"/>
    <x v="12"/>
    <x v="7"/>
    <x v="7"/>
    <x v="7"/>
    <x v="5"/>
    <x v="173"/>
    <x v="193"/>
    <x v="135"/>
    <x v="190"/>
    <x v="109"/>
    <x v="196"/>
    <x v="8"/>
  </r>
  <r>
    <x v="0"/>
    <x v="12"/>
    <x v="12"/>
    <x v="11"/>
    <x v="11"/>
    <x v="11"/>
    <x v="6"/>
    <x v="174"/>
    <x v="194"/>
    <x v="136"/>
    <x v="191"/>
    <x v="141"/>
    <x v="201"/>
    <x v="8"/>
  </r>
  <r>
    <x v="0"/>
    <x v="12"/>
    <x v="12"/>
    <x v="12"/>
    <x v="12"/>
    <x v="12"/>
    <x v="7"/>
    <x v="167"/>
    <x v="195"/>
    <x v="137"/>
    <x v="192"/>
    <x v="56"/>
    <x v="202"/>
    <x v="8"/>
  </r>
  <r>
    <x v="0"/>
    <x v="12"/>
    <x v="12"/>
    <x v="6"/>
    <x v="6"/>
    <x v="6"/>
    <x v="8"/>
    <x v="175"/>
    <x v="196"/>
    <x v="60"/>
    <x v="193"/>
    <x v="142"/>
    <x v="84"/>
    <x v="8"/>
  </r>
  <r>
    <x v="0"/>
    <x v="12"/>
    <x v="12"/>
    <x v="15"/>
    <x v="15"/>
    <x v="15"/>
    <x v="9"/>
    <x v="77"/>
    <x v="183"/>
    <x v="81"/>
    <x v="194"/>
    <x v="49"/>
    <x v="203"/>
    <x v="8"/>
  </r>
  <r>
    <x v="0"/>
    <x v="12"/>
    <x v="12"/>
    <x v="4"/>
    <x v="4"/>
    <x v="4"/>
    <x v="10"/>
    <x v="49"/>
    <x v="197"/>
    <x v="136"/>
    <x v="191"/>
    <x v="129"/>
    <x v="88"/>
    <x v="8"/>
  </r>
  <r>
    <x v="0"/>
    <x v="12"/>
    <x v="12"/>
    <x v="5"/>
    <x v="5"/>
    <x v="5"/>
    <x v="11"/>
    <x v="78"/>
    <x v="198"/>
    <x v="55"/>
    <x v="118"/>
    <x v="122"/>
    <x v="204"/>
    <x v="8"/>
  </r>
  <r>
    <x v="0"/>
    <x v="12"/>
    <x v="12"/>
    <x v="29"/>
    <x v="29"/>
    <x v="29"/>
    <x v="12"/>
    <x v="176"/>
    <x v="199"/>
    <x v="109"/>
    <x v="195"/>
    <x v="63"/>
    <x v="31"/>
    <x v="8"/>
  </r>
  <r>
    <x v="0"/>
    <x v="12"/>
    <x v="12"/>
    <x v="23"/>
    <x v="23"/>
    <x v="23"/>
    <x v="13"/>
    <x v="177"/>
    <x v="185"/>
    <x v="102"/>
    <x v="196"/>
    <x v="78"/>
    <x v="205"/>
    <x v="8"/>
  </r>
  <r>
    <x v="0"/>
    <x v="12"/>
    <x v="12"/>
    <x v="18"/>
    <x v="18"/>
    <x v="18"/>
    <x v="13"/>
    <x v="177"/>
    <x v="185"/>
    <x v="69"/>
    <x v="127"/>
    <x v="103"/>
    <x v="101"/>
    <x v="8"/>
  </r>
  <r>
    <x v="0"/>
    <x v="12"/>
    <x v="12"/>
    <x v="16"/>
    <x v="16"/>
    <x v="16"/>
    <x v="13"/>
    <x v="177"/>
    <x v="185"/>
    <x v="65"/>
    <x v="30"/>
    <x v="52"/>
    <x v="81"/>
    <x v="8"/>
  </r>
  <r>
    <x v="0"/>
    <x v="12"/>
    <x v="12"/>
    <x v="13"/>
    <x v="13"/>
    <x v="13"/>
    <x v="13"/>
    <x v="177"/>
    <x v="185"/>
    <x v="138"/>
    <x v="197"/>
    <x v="105"/>
    <x v="174"/>
    <x v="8"/>
  </r>
  <r>
    <x v="0"/>
    <x v="12"/>
    <x v="12"/>
    <x v="9"/>
    <x v="9"/>
    <x v="9"/>
    <x v="17"/>
    <x v="70"/>
    <x v="15"/>
    <x v="65"/>
    <x v="30"/>
    <x v="135"/>
    <x v="33"/>
    <x v="8"/>
  </r>
  <r>
    <x v="0"/>
    <x v="12"/>
    <x v="12"/>
    <x v="10"/>
    <x v="10"/>
    <x v="10"/>
    <x v="18"/>
    <x v="126"/>
    <x v="69"/>
    <x v="76"/>
    <x v="198"/>
    <x v="53"/>
    <x v="206"/>
    <x v="8"/>
  </r>
  <r>
    <x v="0"/>
    <x v="12"/>
    <x v="12"/>
    <x v="33"/>
    <x v="33"/>
    <x v="33"/>
    <x v="19"/>
    <x v="72"/>
    <x v="114"/>
    <x v="104"/>
    <x v="199"/>
    <x v="129"/>
    <x v="88"/>
    <x v="8"/>
  </r>
  <r>
    <x v="0"/>
    <x v="13"/>
    <x v="13"/>
    <x v="0"/>
    <x v="0"/>
    <x v="0"/>
    <x v="0"/>
    <x v="178"/>
    <x v="200"/>
    <x v="139"/>
    <x v="200"/>
    <x v="45"/>
    <x v="207"/>
    <x v="8"/>
  </r>
  <r>
    <x v="0"/>
    <x v="13"/>
    <x v="13"/>
    <x v="1"/>
    <x v="1"/>
    <x v="1"/>
    <x v="1"/>
    <x v="179"/>
    <x v="201"/>
    <x v="140"/>
    <x v="21"/>
    <x v="143"/>
    <x v="208"/>
    <x v="5"/>
  </r>
  <r>
    <x v="0"/>
    <x v="13"/>
    <x v="13"/>
    <x v="11"/>
    <x v="11"/>
    <x v="11"/>
    <x v="2"/>
    <x v="180"/>
    <x v="202"/>
    <x v="141"/>
    <x v="201"/>
    <x v="144"/>
    <x v="209"/>
    <x v="8"/>
  </r>
  <r>
    <x v="0"/>
    <x v="13"/>
    <x v="13"/>
    <x v="2"/>
    <x v="2"/>
    <x v="2"/>
    <x v="3"/>
    <x v="181"/>
    <x v="203"/>
    <x v="142"/>
    <x v="202"/>
    <x v="129"/>
    <x v="210"/>
    <x v="8"/>
  </r>
  <r>
    <x v="0"/>
    <x v="13"/>
    <x v="13"/>
    <x v="3"/>
    <x v="3"/>
    <x v="3"/>
    <x v="4"/>
    <x v="182"/>
    <x v="204"/>
    <x v="143"/>
    <x v="203"/>
    <x v="42"/>
    <x v="211"/>
    <x v="8"/>
  </r>
  <r>
    <x v="0"/>
    <x v="13"/>
    <x v="13"/>
    <x v="7"/>
    <x v="7"/>
    <x v="7"/>
    <x v="5"/>
    <x v="183"/>
    <x v="205"/>
    <x v="144"/>
    <x v="204"/>
    <x v="70"/>
    <x v="212"/>
    <x v="8"/>
  </r>
  <r>
    <x v="0"/>
    <x v="13"/>
    <x v="13"/>
    <x v="6"/>
    <x v="6"/>
    <x v="6"/>
    <x v="6"/>
    <x v="172"/>
    <x v="206"/>
    <x v="145"/>
    <x v="205"/>
    <x v="44"/>
    <x v="24"/>
    <x v="8"/>
  </r>
  <r>
    <x v="0"/>
    <x v="13"/>
    <x v="13"/>
    <x v="34"/>
    <x v="34"/>
    <x v="34"/>
    <x v="7"/>
    <x v="184"/>
    <x v="207"/>
    <x v="107"/>
    <x v="206"/>
    <x v="113"/>
    <x v="213"/>
    <x v="8"/>
  </r>
  <r>
    <x v="0"/>
    <x v="13"/>
    <x v="13"/>
    <x v="22"/>
    <x v="22"/>
    <x v="22"/>
    <x v="8"/>
    <x v="106"/>
    <x v="30"/>
    <x v="116"/>
    <x v="207"/>
    <x v="122"/>
    <x v="175"/>
    <x v="8"/>
  </r>
  <r>
    <x v="0"/>
    <x v="13"/>
    <x v="13"/>
    <x v="5"/>
    <x v="5"/>
    <x v="5"/>
    <x v="9"/>
    <x v="175"/>
    <x v="184"/>
    <x v="51"/>
    <x v="208"/>
    <x v="145"/>
    <x v="214"/>
    <x v="8"/>
  </r>
  <r>
    <x v="0"/>
    <x v="13"/>
    <x v="13"/>
    <x v="12"/>
    <x v="12"/>
    <x v="12"/>
    <x v="10"/>
    <x v="185"/>
    <x v="208"/>
    <x v="130"/>
    <x v="209"/>
    <x v="55"/>
    <x v="84"/>
    <x v="8"/>
  </r>
  <r>
    <x v="0"/>
    <x v="13"/>
    <x v="13"/>
    <x v="35"/>
    <x v="35"/>
    <x v="35"/>
    <x v="11"/>
    <x v="139"/>
    <x v="111"/>
    <x v="146"/>
    <x v="210"/>
    <x v="57"/>
    <x v="13"/>
    <x v="8"/>
  </r>
  <r>
    <x v="0"/>
    <x v="13"/>
    <x v="13"/>
    <x v="29"/>
    <x v="29"/>
    <x v="29"/>
    <x v="12"/>
    <x v="113"/>
    <x v="126"/>
    <x v="147"/>
    <x v="211"/>
    <x v="68"/>
    <x v="215"/>
    <x v="8"/>
  </r>
  <r>
    <x v="0"/>
    <x v="13"/>
    <x v="13"/>
    <x v="15"/>
    <x v="15"/>
    <x v="15"/>
    <x v="13"/>
    <x v="47"/>
    <x v="209"/>
    <x v="102"/>
    <x v="48"/>
    <x v="49"/>
    <x v="216"/>
    <x v="8"/>
  </r>
  <r>
    <x v="0"/>
    <x v="13"/>
    <x v="13"/>
    <x v="9"/>
    <x v="9"/>
    <x v="9"/>
    <x v="14"/>
    <x v="186"/>
    <x v="210"/>
    <x v="57"/>
    <x v="45"/>
    <x v="128"/>
    <x v="217"/>
    <x v="8"/>
  </r>
  <r>
    <x v="0"/>
    <x v="13"/>
    <x v="13"/>
    <x v="13"/>
    <x v="13"/>
    <x v="13"/>
    <x v="15"/>
    <x v="168"/>
    <x v="36"/>
    <x v="73"/>
    <x v="71"/>
    <x v="105"/>
    <x v="187"/>
    <x v="8"/>
  </r>
  <r>
    <x v="0"/>
    <x v="13"/>
    <x v="13"/>
    <x v="36"/>
    <x v="36"/>
    <x v="36"/>
    <x v="16"/>
    <x v="142"/>
    <x v="211"/>
    <x v="66"/>
    <x v="212"/>
    <x v="72"/>
    <x v="177"/>
    <x v="8"/>
  </r>
  <r>
    <x v="0"/>
    <x v="13"/>
    <x v="13"/>
    <x v="10"/>
    <x v="10"/>
    <x v="10"/>
    <x v="17"/>
    <x v="154"/>
    <x v="212"/>
    <x v="148"/>
    <x v="139"/>
    <x v="68"/>
    <x v="215"/>
    <x v="8"/>
  </r>
  <r>
    <x v="0"/>
    <x v="13"/>
    <x v="13"/>
    <x v="23"/>
    <x v="23"/>
    <x v="23"/>
    <x v="18"/>
    <x v="155"/>
    <x v="81"/>
    <x v="149"/>
    <x v="196"/>
    <x v="74"/>
    <x v="54"/>
    <x v="8"/>
  </r>
  <r>
    <x v="0"/>
    <x v="13"/>
    <x v="13"/>
    <x v="19"/>
    <x v="19"/>
    <x v="19"/>
    <x v="19"/>
    <x v="48"/>
    <x v="37"/>
    <x v="56"/>
    <x v="55"/>
    <x v="65"/>
    <x v="218"/>
    <x v="0"/>
  </r>
  <r>
    <x v="0"/>
    <x v="14"/>
    <x v="14"/>
    <x v="0"/>
    <x v="0"/>
    <x v="0"/>
    <x v="0"/>
    <x v="187"/>
    <x v="213"/>
    <x v="150"/>
    <x v="213"/>
    <x v="86"/>
    <x v="125"/>
    <x v="8"/>
  </r>
  <r>
    <x v="0"/>
    <x v="14"/>
    <x v="14"/>
    <x v="1"/>
    <x v="1"/>
    <x v="1"/>
    <x v="1"/>
    <x v="188"/>
    <x v="214"/>
    <x v="151"/>
    <x v="214"/>
    <x v="133"/>
    <x v="219"/>
    <x v="8"/>
  </r>
  <r>
    <x v="0"/>
    <x v="14"/>
    <x v="14"/>
    <x v="2"/>
    <x v="2"/>
    <x v="2"/>
    <x v="2"/>
    <x v="189"/>
    <x v="215"/>
    <x v="152"/>
    <x v="215"/>
    <x v="55"/>
    <x v="122"/>
    <x v="8"/>
  </r>
  <r>
    <x v="0"/>
    <x v="14"/>
    <x v="14"/>
    <x v="3"/>
    <x v="3"/>
    <x v="3"/>
    <x v="3"/>
    <x v="190"/>
    <x v="216"/>
    <x v="153"/>
    <x v="216"/>
    <x v="53"/>
    <x v="220"/>
    <x v="8"/>
  </r>
  <r>
    <x v="0"/>
    <x v="14"/>
    <x v="14"/>
    <x v="7"/>
    <x v="7"/>
    <x v="7"/>
    <x v="4"/>
    <x v="191"/>
    <x v="217"/>
    <x v="132"/>
    <x v="217"/>
    <x v="78"/>
    <x v="221"/>
    <x v="8"/>
  </r>
  <r>
    <x v="0"/>
    <x v="14"/>
    <x v="14"/>
    <x v="6"/>
    <x v="6"/>
    <x v="6"/>
    <x v="5"/>
    <x v="175"/>
    <x v="218"/>
    <x v="113"/>
    <x v="218"/>
    <x v="80"/>
    <x v="222"/>
    <x v="8"/>
  </r>
  <r>
    <x v="0"/>
    <x v="14"/>
    <x v="14"/>
    <x v="5"/>
    <x v="5"/>
    <x v="5"/>
    <x v="6"/>
    <x v="50"/>
    <x v="219"/>
    <x v="81"/>
    <x v="79"/>
    <x v="120"/>
    <x v="223"/>
    <x v="8"/>
  </r>
  <r>
    <x v="0"/>
    <x v="14"/>
    <x v="14"/>
    <x v="9"/>
    <x v="9"/>
    <x v="9"/>
    <x v="7"/>
    <x v="156"/>
    <x v="220"/>
    <x v="46"/>
    <x v="219"/>
    <x v="146"/>
    <x v="224"/>
    <x v="8"/>
  </r>
  <r>
    <x v="0"/>
    <x v="14"/>
    <x v="14"/>
    <x v="12"/>
    <x v="12"/>
    <x v="12"/>
    <x v="8"/>
    <x v="192"/>
    <x v="181"/>
    <x v="127"/>
    <x v="220"/>
    <x v="66"/>
    <x v="28"/>
    <x v="8"/>
  </r>
  <r>
    <x v="0"/>
    <x v="14"/>
    <x v="14"/>
    <x v="10"/>
    <x v="10"/>
    <x v="10"/>
    <x v="9"/>
    <x v="193"/>
    <x v="221"/>
    <x v="49"/>
    <x v="221"/>
    <x v="123"/>
    <x v="225"/>
    <x v="8"/>
  </r>
  <r>
    <x v="0"/>
    <x v="14"/>
    <x v="14"/>
    <x v="8"/>
    <x v="8"/>
    <x v="8"/>
    <x v="10"/>
    <x v="55"/>
    <x v="49"/>
    <x v="154"/>
    <x v="168"/>
    <x v="81"/>
    <x v="226"/>
    <x v="8"/>
  </r>
  <r>
    <x v="0"/>
    <x v="14"/>
    <x v="14"/>
    <x v="13"/>
    <x v="13"/>
    <x v="13"/>
    <x v="11"/>
    <x v="81"/>
    <x v="34"/>
    <x v="155"/>
    <x v="60"/>
    <x v="73"/>
    <x v="227"/>
    <x v="8"/>
  </r>
  <r>
    <x v="0"/>
    <x v="14"/>
    <x v="14"/>
    <x v="23"/>
    <x v="23"/>
    <x v="23"/>
    <x v="12"/>
    <x v="57"/>
    <x v="13"/>
    <x v="57"/>
    <x v="222"/>
    <x v="73"/>
    <x v="227"/>
    <x v="8"/>
  </r>
  <r>
    <x v="0"/>
    <x v="14"/>
    <x v="14"/>
    <x v="4"/>
    <x v="4"/>
    <x v="4"/>
    <x v="12"/>
    <x v="57"/>
    <x v="13"/>
    <x v="138"/>
    <x v="223"/>
    <x v="87"/>
    <x v="151"/>
    <x v="8"/>
  </r>
  <r>
    <x v="0"/>
    <x v="14"/>
    <x v="14"/>
    <x v="14"/>
    <x v="14"/>
    <x v="14"/>
    <x v="14"/>
    <x v="118"/>
    <x v="17"/>
    <x v="50"/>
    <x v="68"/>
    <x v="139"/>
    <x v="72"/>
    <x v="8"/>
  </r>
  <r>
    <x v="0"/>
    <x v="14"/>
    <x v="14"/>
    <x v="15"/>
    <x v="15"/>
    <x v="15"/>
    <x v="15"/>
    <x v="159"/>
    <x v="187"/>
    <x v="75"/>
    <x v="224"/>
    <x v="82"/>
    <x v="49"/>
    <x v="8"/>
  </r>
  <r>
    <x v="0"/>
    <x v="14"/>
    <x v="14"/>
    <x v="17"/>
    <x v="17"/>
    <x v="17"/>
    <x v="16"/>
    <x v="131"/>
    <x v="53"/>
    <x v="77"/>
    <x v="225"/>
    <x v="56"/>
    <x v="228"/>
    <x v="8"/>
  </r>
  <r>
    <x v="0"/>
    <x v="14"/>
    <x v="14"/>
    <x v="19"/>
    <x v="19"/>
    <x v="19"/>
    <x v="17"/>
    <x v="194"/>
    <x v="222"/>
    <x v="82"/>
    <x v="226"/>
    <x v="67"/>
    <x v="211"/>
    <x v="8"/>
  </r>
  <r>
    <x v="0"/>
    <x v="14"/>
    <x v="14"/>
    <x v="16"/>
    <x v="16"/>
    <x v="16"/>
    <x v="18"/>
    <x v="195"/>
    <x v="223"/>
    <x v="52"/>
    <x v="227"/>
    <x v="75"/>
    <x v="148"/>
    <x v="8"/>
  </r>
  <r>
    <x v="0"/>
    <x v="14"/>
    <x v="14"/>
    <x v="32"/>
    <x v="32"/>
    <x v="32"/>
    <x v="18"/>
    <x v="195"/>
    <x v="223"/>
    <x v="55"/>
    <x v="228"/>
    <x v="64"/>
    <x v="159"/>
    <x v="8"/>
  </r>
  <r>
    <x v="0"/>
    <x v="15"/>
    <x v="15"/>
    <x v="1"/>
    <x v="1"/>
    <x v="1"/>
    <x v="0"/>
    <x v="60"/>
    <x v="224"/>
    <x v="156"/>
    <x v="42"/>
    <x v="92"/>
    <x v="229"/>
    <x v="8"/>
  </r>
  <r>
    <x v="0"/>
    <x v="15"/>
    <x v="15"/>
    <x v="0"/>
    <x v="0"/>
    <x v="0"/>
    <x v="1"/>
    <x v="196"/>
    <x v="225"/>
    <x v="157"/>
    <x v="229"/>
    <x v="109"/>
    <x v="230"/>
    <x v="8"/>
  </r>
  <r>
    <x v="0"/>
    <x v="15"/>
    <x v="15"/>
    <x v="2"/>
    <x v="2"/>
    <x v="2"/>
    <x v="2"/>
    <x v="197"/>
    <x v="226"/>
    <x v="158"/>
    <x v="230"/>
    <x v="135"/>
    <x v="231"/>
    <x v="8"/>
  </r>
  <r>
    <x v="0"/>
    <x v="15"/>
    <x v="15"/>
    <x v="3"/>
    <x v="3"/>
    <x v="3"/>
    <x v="3"/>
    <x v="63"/>
    <x v="227"/>
    <x v="159"/>
    <x v="231"/>
    <x v="137"/>
    <x v="232"/>
    <x v="8"/>
  </r>
  <r>
    <x v="0"/>
    <x v="15"/>
    <x v="15"/>
    <x v="6"/>
    <x v="6"/>
    <x v="6"/>
    <x v="4"/>
    <x v="122"/>
    <x v="122"/>
    <x v="160"/>
    <x v="232"/>
    <x v="56"/>
    <x v="233"/>
    <x v="8"/>
  </r>
  <r>
    <x v="0"/>
    <x v="15"/>
    <x v="15"/>
    <x v="22"/>
    <x v="22"/>
    <x v="22"/>
    <x v="5"/>
    <x v="137"/>
    <x v="91"/>
    <x v="19"/>
    <x v="233"/>
    <x v="147"/>
    <x v="234"/>
    <x v="8"/>
  </r>
  <r>
    <x v="0"/>
    <x v="15"/>
    <x v="15"/>
    <x v="9"/>
    <x v="9"/>
    <x v="9"/>
    <x v="6"/>
    <x v="198"/>
    <x v="7"/>
    <x v="77"/>
    <x v="198"/>
    <x v="125"/>
    <x v="109"/>
    <x v="8"/>
  </r>
  <r>
    <x v="0"/>
    <x v="15"/>
    <x v="15"/>
    <x v="7"/>
    <x v="7"/>
    <x v="7"/>
    <x v="7"/>
    <x v="185"/>
    <x v="26"/>
    <x v="161"/>
    <x v="234"/>
    <x v="44"/>
    <x v="202"/>
    <x v="8"/>
  </r>
  <r>
    <x v="0"/>
    <x v="15"/>
    <x v="15"/>
    <x v="10"/>
    <x v="10"/>
    <x v="10"/>
    <x v="8"/>
    <x v="46"/>
    <x v="228"/>
    <x v="69"/>
    <x v="126"/>
    <x v="148"/>
    <x v="235"/>
    <x v="8"/>
  </r>
  <r>
    <x v="0"/>
    <x v="15"/>
    <x v="15"/>
    <x v="5"/>
    <x v="5"/>
    <x v="5"/>
    <x v="9"/>
    <x v="199"/>
    <x v="229"/>
    <x v="58"/>
    <x v="112"/>
    <x v="65"/>
    <x v="236"/>
    <x v="8"/>
  </r>
  <r>
    <x v="0"/>
    <x v="15"/>
    <x v="15"/>
    <x v="4"/>
    <x v="4"/>
    <x v="4"/>
    <x v="10"/>
    <x v="186"/>
    <x v="79"/>
    <x v="91"/>
    <x v="235"/>
    <x v="137"/>
    <x v="232"/>
    <x v="8"/>
  </r>
  <r>
    <x v="0"/>
    <x v="15"/>
    <x v="15"/>
    <x v="8"/>
    <x v="8"/>
    <x v="8"/>
    <x v="11"/>
    <x v="200"/>
    <x v="230"/>
    <x v="101"/>
    <x v="236"/>
    <x v="55"/>
    <x v="183"/>
    <x v="5"/>
  </r>
  <r>
    <x v="0"/>
    <x v="15"/>
    <x v="15"/>
    <x v="11"/>
    <x v="11"/>
    <x v="11"/>
    <x v="12"/>
    <x v="50"/>
    <x v="65"/>
    <x v="103"/>
    <x v="181"/>
    <x v="72"/>
    <x v="133"/>
    <x v="8"/>
  </r>
  <r>
    <x v="0"/>
    <x v="15"/>
    <x v="15"/>
    <x v="23"/>
    <x v="23"/>
    <x v="23"/>
    <x v="13"/>
    <x v="193"/>
    <x v="185"/>
    <x v="148"/>
    <x v="237"/>
    <x v="67"/>
    <x v="237"/>
    <x v="8"/>
  </r>
  <r>
    <x v="0"/>
    <x v="15"/>
    <x v="15"/>
    <x v="15"/>
    <x v="15"/>
    <x v="15"/>
    <x v="14"/>
    <x v="126"/>
    <x v="144"/>
    <x v="65"/>
    <x v="238"/>
    <x v="45"/>
    <x v="191"/>
    <x v="8"/>
  </r>
  <r>
    <x v="0"/>
    <x v="15"/>
    <x v="15"/>
    <x v="13"/>
    <x v="13"/>
    <x v="13"/>
    <x v="14"/>
    <x v="126"/>
    <x v="144"/>
    <x v="154"/>
    <x v="239"/>
    <x v="64"/>
    <x v="238"/>
    <x v="8"/>
  </r>
  <r>
    <x v="0"/>
    <x v="15"/>
    <x v="15"/>
    <x v="14"/>
    <x v="14"/>
    <x v="14"/>
    <x v="14"/>
    <x v="126"/>
    <x v="144"/>
    <x v="105"/>
    <x v="240"/>
    <x v="113"/>
    <x v="239"/>
    <x v="8"/>
  </r>
  <r>
    <x v="0"/>
    <x v="15"/>
    <x v="15"/>
    <x v="12"/>
    <x v="12"/>
    <x v="12"/>
    <x v="17"/>
    <x v="116"/>
    <x v="115"/>
    <x v="51"/>
    <x v="241"/>
    <x v="82"/>
    <x v="35"/>
    <x v="8"/>
  </r>
  <r>
    <x v="0"/>
    <x v="15"/>
    <x v="15"/>
    <x v="17"/>
    <x v="17"/>
    <x v="17"/>
    <x v="18"/>
    <x v="56"/>
    <x v="53"/>
    <x v="81"/>
    <x v="242"/>
    <x v="57"/>
    <x v="240"/>
    <x v="8"/>
  </r>
  <r>
    <x v="0"/>
    <x v="15"/>
    <x v="15"/>
    <x v="16"/>
    <x v="16"/>
    <x v="16"/>
    <x v="19"/>
    <x v="57"/>
    <x v="146"/>
    <x v="54"/>
    <x v="243"/>
    <x v="61"/>
    <x v="86"/>
    <x v="8"/>
  </r>
  <r>
    <x v="0"/>
    <x v="16"/>
    <x v="16"/>
    <x v="1"/>
    <x v="1"/>
    <x v="1"/>
    <x v="0"/>
    <x v="201"/>
    <x v="231"/>
    <x v="162"/>
    <x v="244"/>
    <x v="149"/>
    <x v="241"/>
    <x v="8"/>
  </r>
  <r>
    <x v="0"/>
    <x v="16"/>
    <x v="16"/>
    <x v="0"/>
    <x v="0"/>
    <x v="0"/>
    <x v="1"/>
    <x v="202"/>
    <x v="232"/>
    <x v="163"/>
    <x v="245"/>
    <x v="47"/>
    <x v="242"/>
    <x v="8"/>
  </r>
  <r>
    <x v="0"/>
    <x v="16"/>
    <x v="16"/>
    <x v="2"/>
    <x v="2"/>
    <x v="2"/>
    <x v="2"/>
    <x v="203"/>
    <x v="233"/>
    <x v="164"/>
    <x v="246"/>
    <x v="47"/>
    <x v="242"/>
    <x v="8"/>
  </r>
  <r>
    <x v="0"/>
    <x v="16"/>
    <x v="16"/>
    <x v="3"/>
    <x v="3"/>
    <x v="3"/>
    <x v="3"/>
    <x v="204"/>
    <x v="234"/>
    <x v="165"/>
    <x v="247"/>
    <x v="150"/>
    <x v="243"/>
    <x v="8"/>
  </r>
  <r>
    <x v="0"/>
    <x v="16"/>
    <x v="16"/>
    <x v="6"/>
    <x v="6"/>
    <x v="6"/>
    <x v="4"/>
    <x v="62"/>
    <x v="235"/>
    <x v="166"/>
    <x v="248"/>
    <x v="105"/>
    <x v="7"/>
    <x v="8"/>
  </r>
  <r>
    <x v="0"/>
    <x v="16"/>
    <x v="16"/>
    <x v="7"/>
    <x v="7"/>
    <x v="7"/>
    <x v="5"/>
    <x v="205"/>
    <x v="76"/>
    <x v="167"/>
    <x v="162"/>
    <x v="137"/>
    <x v="244"/>
    <x v="8"/>
  </r>
  <r>
    <x v="0"/>
    <x v="16"/>
    <x v="16"/>
    <x v="4"/>
    <x v="4"/>
    <x v="4"/>
    <x v="6"/>
    <x v="206"/>
    <x v="236"/>
    <x v="89"/>
    <x v="249"/>
    <x v="49"/>
    <x v="245"/>
    <x v="8"/>
  </r>
  <r>
    <x v="0"/>
    <x v="16"/>
    <x v="16"/>
    <x v="12"/>
    <x v="12"/>
    <x v="12"/>
    <x v="7"/>
    <x v="207"/>
    <x v="237"/>
    <x v="48"/>
    <x v="83"/>
    <x v="147"/>
    <x v="246"/>
    <x v="8"/>
  </r>
  <r>
    <x v="0"/>
    <x v="16"/>
    <x v="16"/>
    <x v="8"/>
    <x v="8"/>
    <x v="8"/>
    <x v="8"/>
    <x v="112"/>
    <x v="238"/>
    <x v="168"/>
    <x v="250"/>
    <x v="79"/>
    <x v="213"/>
    <x v="8"/>
  </r>
  <r>
    <x v="0"/>
    <x v="16"/>
    <x v="16"/>
    <x v="14"/>
    <x v="14"/>
    <x v="14"/>
    <x v="9"/>
    <x v="208"/>
    <x v="239"/>
    <x v="49"/>
    <x v="251"/>
    <x v="128"/>
    <x v="247"/>
    <x v="8"/>
  </r>
  <r>
    <x v="0"/>
    <x v="16"/>
    <x v="16"/>
    <x v="5"/>
    <x v="5"/>
    <x v="5"/>
    <x v="10"/>
    <x v="209"/>
    <x v="240"/>
    <x v="76"/>
    <x v="252"/>
    <x v="94"/>
    <x v="173"/>
    <x v="8"/>
  </r>
  <r>
    <x v="0"/>
    <x v="16"/>
    <x v="16"/>
    <x v="15"/>
    <x v="15"/>
    <x v="15"/>
    <x v="11"/>
    <x v="193"/>
    <x v="67"/>
    <x v="81"/>
    <x v="253"/>
    <x v="137"/>
    <x v="244"/>
    <x v="8"/>
  </r>
  <r>
    <x v="0"/>
    <x v="16"/>
    <x v="16"/>
    <x v="13"/>
    <x v="13"/>
    <x v="13"/>
    <x v="12"/>
    <x v="210"/>
    <x v="211"/>
    <x v="102"/>
    <x v="50"/>
    <x v="115"/>
    <x v="248"/>
    <x v="8"/>
  </r>
  <r>
    <x v="0"/>
    <x v="16"/>
    <x v="16"/>
    <x v="17"/>
    <x v="17"/>
    <x v="17"/>
    <x v="13"/>
    <x v="70"/>
    <x v="112"/>
    <x v="100"/>
    <x v="212"/>
    <x v="66"/>
    <x v="2"/>
    <x v="8"/>
  </r>
  <r>
    <x v="0"/>
    <x v="16"/>
    <x v="16"/>
    <x v="9"/>
    <x v="9"/>
    <x v="9"/>
    <x v="14"/>
    <x v="126"/>
    <x v="82"/>
    <x v="77"/>
    <x v="147"/>
    <x v="103"/>
    <x v="49"/>
    <x v="8"/>
  </r>
  <r>
    <x v="0"/>
    <x v="16"/>
    <x v="16"/>
    <x v="10"/>
    <x v="10"/>
    <x v="10"/>
    <x v="15"/>
    <x v="81"/>
    <x v="187"/>
    <x v="77"/>
    <x v="147"/>
    <x v="129"/>
    <x v="249"/>
    <x v="8"/>
  </r>
  <r>
    <x v="0"/>
    <x v="16"/>
    <x v="16"/>
    <x v="19"/>
    <x v="19"/>
    <x v="19"/>
    <x v="16"/>
    <x v="73"/>
    <x v="241"/>
    <x v="56"/>
    <x v="55"/>
    <x v="79"/>
    <x v="213"/>
    <x v="5"/>
  </r>
  <r>
    <x v="0"/>
    <x v="16"/>
    <x v="16"/>
    <x v="22"/>
    <x v="22"/>
    <x v="22"/>
    <x v="17"/>
    <x v="119"/>
    <x v="242"/>
    <x v="76"/>
    <x v="252"/>
    <x v="75"/>
    <x v="250"/>
    <x v="8"/>
  </r>
  <r>
    <x v="0"/>
    <x v="16"/>
    <x v="16"/>
    <x v="18"/>
    <x v="18"/>
    <x v="18"/>
    <x v="18"/>
    <x v="120"/>
    <x v="243"/>
    <x v="67"/>
    <x v="254"/>
    <x v="67"/>
    <x v="237"/>
    <x v="8"/>
  </r>
  <r>
    <x v="0"/>
    <x v="16"/>
    <x v="16"/>
    <x v="21"/>
    <x v="21"/>
    <x v="21"/>
    <x v="19"/>
    <x v="130"/>
    <x v="244"/>
    <x v="50"/>
    <x v="255"/>
    <x v="105"/>
    <x v="7"/>
    <x v="8"/>
  </r>
  <r>
    <x v="0"/>
    <x v="17"/>
    <x v="17"/>
    <x v="1"/>
    <x v="1"/>
    <x v="1"/>
    <x v="0"/>
    <x v="211"/>
    <x v="245"/>
    <x v="169"/>
    <x v="256"/>
    <x v="151"/>
    <x v="251"/>
    <x v="8"/>
  </r>
  <r>
    <x v="0"/>
    <x v="17"/>
    <x v="17"/>
    <x v="0"/>
    <x v="0"/>
    <x v="0"/>
    <x v="1"/>
    <x v="212"/>
    <x v="246"/>
    <x v="170"/>
    <x v="257"/>
    <x v="66"/>
    <x v="252"/>
    <x v="8"/>
  </r>
  <r>
    <x v="0"/>
    <x v="17"/>
    <x v="17"/>
    <x v="2"/>
    <x v="2"/>
    <x v="2"/>
    <x v="2"/>
    <x v="213"/>
    <x v="247"/>
    <x v="171"/>
    <x v="258"/>
    <x v="103"/>
    <x v="37"/>
    <x v="8"/>
  </r>
  <r>
    <x v="0"/>
    <x v="17"/>
    <x v="17"/>
    <x v="6"/>
    <x v="6"/>
    <x v="6"/>
    <x v="3"/>
    <x v="214"/>
    <x v="248"/>
    <x v="162"/>
    <x v="259"/>
    <x v="66"/>
    <x v="252"/>
    <x v="8"/>
  </r>
  <r>
    <x v="0"/>
    <x v="17"/>
    <x v="17"/>
    <x v="3"/>
    <x v="3"/>
    <x v="3"/>
    <x v="4"/>
    <x v="100"/>
    <x v="249"/>
    <x v="172"/>
    <x v="260"/>
    <x v="137"/>
    <x v="160"/>
    <x v="8"/>
  </r>
  <r>
    <x v="0"/>
    <x v="17"/>
    <x v="17"/>
    <x v="5"/>
    <x v="5"/>
    <x v="5"/>
    <x v="5"/>
    <x v="207"/>
    <x v="250"/>
    <x v="58"/>
    <x v="127"/>
    <x v="102"/>
    <x v="253"/>
    <x v="8"/>
  </r>
  <r>
    <x v="0"/>
    <x v="17"/>
    <x v="17"/>
    <x v="7"/>
    <x v="7"/>
    <x v="7"/>
    <x v="6"/>
    <x v="191"/>
    <x v="136"/>
    <x v="165"/>
    <x v="261"/>
    <x v="115"/>
    <x v="230"/>
    <x v="8"/>
  </r>
  <r>
    <x v="0"/>
    <x v="17"/>
    <x v="17"/>
    <x v="9"/>
    <x v="9"/>
    <x v="9"/>
    <x v="7"/>
    <x v="76"/>
    <x v="251"/>
    <x v="103"/>
    <x v="262"/>
    <x v="152"/>
    <x v="254"/>
    <x v="8"/>
  </r>
  <r>
    <x v="0"/>
    <x v="17"/>
    <x v="17"/>
    <x v="10"/>
    <x v="10"/>
    <x v="10"/>
    <x v="8"/>
    <x v="66"/>
    <x v="252"/>
    <x v="109"/>
    <x v="263"/>
    <x v="65"/>
    <x v="255"/>
    <x v="8"/>
  </r>
  <r>
    <x v="0"/>
    <x v="17"/>
    <x v="17"/>
    <x v="14"/>
    <x v="14"/>
    <x v="14"/>
    <x v="9"/>
    <x v="154"/>
    <x v="142"/>
    <x v="100"/>
    <x v="182"/>
    <x v="111"/>
    <x v="256"/>
    <x v="5"/>
  </r>
  <r>
    <x v="0"/>
    <x v="17"/>
    <x v="17"/>
    <x v="8"/>
    <x v="8"/>
    <x v="8"/>
    <x v="10"/>
    <x v="125"/>
    <x v="47"/>
    <x v="107"/>
    <x v="65"/>
    <x v="87"/>
    <x v="257"/>
    <x v="9"/>
  </r>
  <r>
    <x v="0"/>
    <x v="17"/>
    <x v="17"/>
    <x v="4"/>
    <x v="4"/>
    <x v="4"/>
    <x v="11"/>
    <x v="78"/>
    <x v="253"/>
    <x v="91"/>
    <x v="191"/>
    <x v="109"/>
    <x v="258"/>
    <x v="8"/>
  </r>
  <r>
    <x v="0"/>
    <x v="17"/>
    <x v="17"/>
    <x v="12"/>
    <x v="12"/>
    <x v="12"/>
    <x v="12"/>
    <x v="209"/>
    <x v="66"/>
    <x v="136"/>
    <x v="264"/>
    <x v="75"/>
    <x v="108"/>
    <x v="8"/>
  </r>
  <r>
    <x v="0"/>
    <x v="17"/>
    <x v="17"/>
    <x v="13"/>
    <x v="13"/>
    <x v="13"/>
    <x v="13"/>
    <x v="51"/>
    <x v="13"/>
    <x v="136"/>
    <x v="264"/>
    <x v="74"/>
    <x v="259"/>
    <x v="8"/>
  </r>
  <r>
    <x v="0"/>
    <x v="17"/>
    <x v="17"/>
    <x v="15"/>
    <x v="15"/>
    <x v="15"/>
    <x v="14"/>
    <x v="193"/>
    <x v="126"/>
    <x v="65"/>
    <x v="265"/>
    <x v="136"/>
    <x v="260"/>
    <x v="8"/>
  </r>
  <r>
    <x v="0"/>
    <x v="17"/>
    <x v="17"/>
    <x v="32"/>
    <x v="32"/>
    <x v="32"/>
    <x v="15"/>
    <x v="69"/>
    <x v="254"/>
    <x v="154"/>
    <x v="71"/>
    <x v="82"/>
    <x v="261"/>
    <x v="8"/>
  </r>
  <r>
    <x v="0"/>
    <x v="17"/>
    <x v="17"/>
    <x v="17"/>
    <x v="17"/>
    <x v="17"/>
    <x v="16"/>
    <x v="55"/>
    <x v="115"/>
    <x v="80"/>
    <x v="228"/>
    <x v="105"/>
    <x v="240"/>
    <x v="8"/>
  </r>
  <r>
    <x v="0"/>
    <x v="17"/>
    <x v="17"/>
    <x v="19"/>
    <x v="19"/>
    <x v="19"/>
    <x v="17"/>
    <x v="58"/>
    <x v="145"/>
    <x v="56"/>
    <x v="55"/>
    <x v="70"/>
    <x v="262"/>
    <x v="9"/>
  </r>
  <r>
    <x v="0"/>
    <x v="17"/>
    <x v="17"/>
    <x v="20"/>
    <x v="20"/>
    <x v="20"/>
    <x v="18"/>
    <x v="119"/>
    <x v="147"/>
    <x v="70"/>
    <x v="266"/>
    <x v="54"/>
    <x v="263"/>
    <x v="8"/>
  </r>
  <r>
    <x v="0"/>
    <x v="17"/>
    <x v="17"/>
    <x v="37"/>
    <x v="37"/>
    <x v="37"/>
    <x v="19"/>
    <x v="194"/>
    <x v="255"/>
    <x v="82"/>
    <x v="101"/>
    <x v="67"/>
    <x v="264"/>
    <x v="8"/>
  </r>
  <r>
    <x v="0"/>
    <x v="18"/>
    <x v="18"/>
    <x v="1"/>
    <x v="1"/>
    <x v="1"/>
    <x v="0"/>
    <x v="215"/>
    <x v="256"/>
    <x v="173"/>
    <x v="267"/>
    <x v="153"/>
    <x v="265"/>
    <x v="8"/>
  </r>
  <r>
    <x v="0"/>
    <x v="18"/>
    <x v="18"/>
    <x v="0"/>
    <x v="0"/>
    <x v="0"/>
    <x v="1"/>
    <x v="216"/>
    <x v="257"/>
    <x v="174"/>
    <x v="268"/>
    <x v="142"/>
    <x v="266"/>
    <x v="5"/>
  </r>
  <r>
    <x v="0"/>
    <x v="18"/>
    <x v="18"/>
    <x v="2"/>
    <x v="2"/>
    <x v="2"/>
    <x v="2"/>
    <x v="217"/>
    <x v="258"/>
    <x v="175"/>
    <x v="269"/>
    <x v="109"/>
    <x v="267"/>
    <x v="8"/>
  </r>
  <r>
    <x v="0"/>
    <x v="18"/>
    <x v="18"/>
    <x v="3"/>
    <x v="3"/>
    <x v="3"/>
    <x v="3"/>
    <x v="218"/>
    <x v="259"/>
    <x v="176"/>
    <x v="106"/>
    <x v="146"/>
    <x v="268"/>
    <x v="8"/>
  </r>
  <r>
    <x v="0"/>
    <x v="18"/>
    <x v="18"/>
    <x v="7"/>
    <x v="7"/>
    <x v="7"/>
    <x v="4"/>
    <x v="110"/>
    <x v="260"/>
    <x v="177"/>
    <x v="270"/>
    <x v="129"/>
    <x v="149"/>
    <x v="8"/>
  </r>
  <r>
    <x v="0"/>
    <x v="18"/>
    <x v="18"/>
    <x v="6"/>
    <x v="6"/>
    <x v="6"/>
    <x v="5"/>
    <x v="172"/>
    <x v="261"/>
    <x v="178"/>
    <x v="271"/>
    <x v="105"/>
    <x v="13"/>
    <x v="8"/>
  </r>
  <r>
    <x v="0"/>
    <x v="18"/>
    <x v="18"/>
    <x v="5"/>
    <x v="5"/>
    <x v="5"/>
    <x v="6"/>
    <x v="43"/>
    <x v="262"/>
    <x v="78"/>
    <x v="272"/>
    <x v="154"/>
    <x v="269"/>
    <x v="8"/>
  </r>
  <r>
    <x v="0"/>
    <x v="18"/>
    <x v="18"/>
    <x v="10"/>
    <x v="10"/>
    <x v="10"/>
    <x v="7"/>
    <x v="184"/>
    <x v="263"/>
    <x v="79"/>
    <x v="273"/>
    <x v="104"/>
    <x v="270"/>
    <x v="8"/>
  </r>
  <r>
    <x v="0"/>
    <x v="18"/>
    <x v="18"/>
    <x v="9"/>
    <x v="9"/>
    <x v="9"/>
    <x v="7"/>
    <x v="184"/>
    <x v="263"/>
    <x v="69"/>
    <x v="274"/>
    <x v="155"/>
    <x v="271"/>
    <x v="8"/>
  </r>
  <r>
    <x v="0"/>
    <x v="18"/>
    <x v="18"/>
    <x v="8"/>
    <x v="8"/>
    <x v="8"/>
    <x v="9"/>
    <x v="199"/>
    <x v="182"/>
    <x v="121"/>
    <x v="275"/>
    <x v="44"/>
    <x v="272"/>
    <x v="5"/>
  </r>
  <r>
    <x v="0"/>
    <x v="18"/>
    <x v="18"/>
    <x v="12"/>
    <x v="12"/>
    <x v="12"/>
    <x v="10"/>
    <x v="47"/>
    <x v="264"/>
    <x v="95"/>
    <x v="276"/>
    <x v="74"/>
    <x v="273"/>
    <x v="8"/>
  </r>
  <r>
    <x v="0"/>
    <x v="18"/>
    <x v="18"/>
    <x v="13"/>
    <x v="13"/>
    <x v="13"/>
    <x v="11"/>
    <x v="142"/>
    <x v="197"/>
    <x v="47"/>
    <x v="149"/>
    <x v="51"/>
    <x v="227"/>
    <x v="8"/>
  </r>
  <r>
    <x v="0"/>
    <x v="18"/>
    <x v="18"/>
    <x v="22"/>
    <x v="22"/>
    <x v="22"/>
    <x v="12"/>
    <x v="219"/>
    <x v="265"/>
    <x v="138"/>
    <x v="277"/>
    <x v="137"/>
    <x v="274"/>
    <x v="5"/>
  </r>
  <r>
    <x v="0"/>
    <x v="18"/>
    <x v="18"/>
    <x v="15"/>
    <x v="15"/>
    <x v="15"/>
    <x v="12"/>
    <x v="219"/>
    <x v="265"/>
    <x v="58"/>
    <x v="199"/>
    <x v="120"/>
    <x v="99"/>
    <x v="8"/>
  </r>
  <r>
    <x v="0"/>
    <x v="18"/>
    <x v="18"/>
    <x v="14"/>
    <x v="14"/>
    <x v="14"/>
    <x v="14"/>
    <x v="68"/>
    <x v="158"/>
    <x v="104"/>
    <x v="242"/>
    <x v="146"/>
    <x v="268"/>
    <x v="8"/>
  </r>
  <r>
    <x v="0"/>
    <x v="18"/>
    <x v="18"/>
    <x v="4"/>
    <x v="4"/>
    <x v="4"/>
    <x v="15"/>
    <x v="156"/>
    <x v="210"/>
    <x v="134"/>
    <x v="278"/>
    <x v="57"/>
    <x v="87"/>
    <x v="8"/>
  </r>
  <r>
    <x v="0"/>
    <x v="18"/>
    <x v="18"/>
    <x v="24"/>
    <x v="24"/>
    <x v="24"/>
    <x v="16"/>
    <x v="210"/>
    <x v="266"/>
    <x v="75"/>
    <x v="243"/>
    <x v="123"/>
    <x v="11"/>
    <x v="8"/>
  </r>
  <r>
    <x v="0"/>
    <x v="18"/>
    <x v="18"/>
    <x v="19"/>
    <x v="19"/>
    <x v="19"/>
    <x v="17"/>
    <x v="54"/>
    <x v="38"/>
    <x v="56"/>
    <x v="55"/>
    <x v="68"/>
    <x v="275"/>
    <x v="2"/>
  </r>
  <r>
    <x v="0"/>
    <x v="18"/>
    <x v="18"/>
    <x v="11"/>
    <x v="11"/>
    <x v="11"/>
    <x v="18"/>
    <x v="80"/>
    <x v="115"/>
    <x v="120"/>
    <x v="174"/>
    <x v="105"/>
    <x v="13"/>
    <x v="8"/>
  </r>
  <r>
    <x v="0"/>
    <x v="18"/>
    <x v="18"/>
    <x v="23"/>
    <x v="23"/>
    <x v="23"/>
    <x v="19"/>
    <x v="71"/>
    <x v="70"/>
    <x v="138"/>
    <x v="277"/>
    <x v="74"/>
    <x v="273"/>
    <x v="8"/>
  </r>
  <r>
    <x v="0"/>
    <x v="18"/>
    <x v="18"/>
    <x v="18"/>
    <x v="18"/>
    <x v="18"/>
    <x v="19"/>
    <x v="71"/>
    <x v="70"/>
    <x v="81"/>
    <x v="279"/>
    <x v="51"/>
    <x v="227"/>
    <x v="8"/>
  </r>
  <r>
    <x v="0"/>
    <x v="19"/>
    <x v="19"/>
    <x v="0"/>
    <x v="0"/>
    <x v="0"/>
    <x v="0"/>
    <x v="196"/>
    <x v="267"/>
    <x v="179"/>
    <x v="280"/>
    <x v="67"/>
    <x v="276"/>
    <x v="8"/>
  </r>
  <r>
    <x v="0"/>
    <x v="19"/>
    <x v="19"/>
    <x v="1"/>
    <x v="1"/>
    <x v="1"/>
    <x v="1"/>
    <x v="220"/>
    <x v="268"/>
    <x v="141"/>
    <x v="281"/>
    <x v="156"/>
    <x v="277"/>
    <x v="8"/>
  </r>
  <r>
    <x v="0"/>
    <x v="19"/>
    <x v="19"/>
    <x v="2"/>
    <x v="2"/>
    <x v="2"/>
    <x v="2"/>
    <x v="221"/>
    <x v="269"/>
    <x v="180"/>
    <x v="282"/>
    <x v="82"/>
    <x v="278"/>
    <x v="8"/>
  </r>
  <r>
    <x v="0"/>
    <x v="19"/>
    <x v="19"/>
    <x v="3"/>
    <x v="3"/>
    <x v="3"/>
    <x v="3"/>
    <x v="204"/>
    <x v="270"/>
    <x v="177"/>
    <x v="283"/>
    <x v="157"/>
    <x v="279"/>
    <x v="8"/>
  </r>
  <r>
    <x v="0"/>
    <x v="19"/>
    <x v="19"/>
    <x v="7"/>
    <x v="7"/>
    <x v="7"/>
    <x v="4"/>
    <x v="222"/>
    <x v="271"/>
    <x v="61"/>
    <x v="284"/>
    <x v="67"/>
    <x v="276"/>
    <x v="8"/>
  </r>
  <r>
    <x v="0"/>
    <x v="19"/>
    <x v="19"/>
    <x v="6"/>
    <x v="6"/>
    <x v="6"/>
    <x v="5"/>
    <x v="186"/>
    <x v="272"/>
    <x v="130"/>
    <x v="285"/>
    <x v="80"/>
    <x v="280"/>
    <x v="8"/>
  </r>
  <r>
    <x v="0"/>
    <x v="19"/>
    <x v="19"/>
    <x v="12"/>
    <x v="12"/>
    <x v="12"/>
    <x v="6"/>
    <x v="155"/>
    <x v="140"/>
    <x v="107"/>
    <x v="286"/>
    <x v="64"/>
    <x v="80"/>
    <x v="8"/>
  </r>
  <r>
    <x v="0"/>
    <x v="19"/>
    <x v="19"/>
    <x v="11"/>
    <x v="11"/>
    <x v="11"/>
    <x v="7"/>
    <x v="223"/>
    <x v="93"/>
    <x v="155"/>
    <x v="241"/>
    <x v="136"/>
    <x v="281"/>
    <x v="8"/>
  </r>
  <r>
    <x v="0"/>
    <x v="19"/>
    <x v="19"/>
    <x v="5"/>
    <x v="5"/>
    <x v="5"/>
    <x v="8"/>
    <x v="50"/>
    <x v="273"/>
    <x v="49"/>
    <x v="287"/>
    <x v="122"/>
    <x v="282"/>
    <x v="8"/>
  </r>
  <r>
    <x v="0"/>
    <x v="19"/>
    <x v="19"/>
    <x v="19"/>
    <x v="19"/>
    <x v="19"/>
    <x v="9"/>
    <x v="192"/>
    <x v="183"/>
    <x v="56"/>
    <x v="55"/>
    <x v="107"/>
    <x v="283"/>
    <x v="9"/>
  </r>
  <r>
    <x v="0"/>
    <x v="19"/>
    <x v="19"/>
    <x v="10"/>
    <x v="10"/>
    <x v="10"/>
    <x v="10"/>
    <x v="79"/>
    <x v="274"/>
    <x v="104"/>
    <x v="199"/>
    <x v="52"/>
    <x v="284"/>
    <x v="8"/>
  </r>
  <r>
    <x v="0"/>
    <x v="19"/>
    <x v="19"/>
    <x v="13"/>
    <x v="13"/>
    <x v="13"/>
    <x v="11"/>
    <x v="193"/>
    <x v="31"/>
    <x v="78"/>
    <x v="288"/>
    <x v="105"/>
    <x v="86"/>
    <x v="8"/>
  </r>
  <r>
    <x v="0"/>
    <x v="19"/>
    <x v="19"/>
    <x v="9"/>
    <x v="9"/>
    <x v="9"/>
    <x v="12"/>
    <x v="80"/>
    <x v="14"/>
    <x v="77"/>
    <x v="279"/>
    <x v="79"/>
    <x v="285"/>
    <x v="8"/>
  </r>
  <r>
    <x v="0"/>
    <x v="19"/>
    <x v="19"/>
    <x v="38"/>
    <x v="38"/>
    <x v="38"/>
    <x v="13"/>
    <x v="72"/>
    <x v="97"/>
    <x v="127"/>
    <x v="289"/>
    <x v="142"/>
    <x v="151"/>
    <x v="8"/>
  </r>
  <r>
    <x v="0"/>
    <x v="19"/>
    <x v="19"/>
    <x v="18"/>
    <x v="18"/>
    <x v="18"/>
    <x v="14"/>
    <x v="56"/>
    <x v="275"/>
    <x v="77"/>
    <x v="279"/>
    <x v="66"/>
    <x v="286"/>
    <x v="8"/>
  </r>
  <r>
    <x v="0"/>
    <x v="19"/>
    <x v="19"/>
    <x v="29"/>
    <x v="29"/>
    <x v="29"/>
    <x v="15"/>
    <x v="59"/>
    <x v="84"/>
    <x v="50"/>
    <x v="290"/>
    <x v="129"/>
    <x v="68"/>
    <x v="8"/>
  </r>
  <r>
    <x v="0"/>
    <x v="19"/>
    <x v="19"/>
    <x v="14"/>
    <x v="14"/>
    <x v="14"/>
    <x v="16"/>
    <x v="128"/>
    <x v="53"/>
    <x v="76"/>
    <x v="198"/>
    <x v="105"/>
    <x v="86"/>
    <x v="8"/>
  </r>
  <r>
    <x v="0"/>
    <x v="19"/>
    <x v="19"/>
    <x v="39"/>
    <x v="39"/>
    <x v="39"/>
    <x v="17"/>
    <x v="119"/>
    <x v="276"/>
    <x v="65"/>
    <x v="30"/>
    <x v="115"/>
    <x v="62"/>
    <x v="8"/>
  </r>
  <r>
    <x v="0"/>
    <x v="19"/>
    <x v="19"/>
    <x v="32"/>
    <x v="32"/>
    <x v="32"/>
    <x v="17"/>
    <x v="119"/>
    <x v="276"/>
    <x v="53"/>
    <x v="54"/>
    <x v="86"/>
    <x v="287"/>
    <x v="8"/>
  </r>
  <r>
    <x v="0"/>
    <x v="19"/>
    <x v="19"/>
    <x v="15"/>
    <x v="15"/>
    <x v="15"/>
    <x v="19"/>
    <x v="120"/>
    <x v="130"/>
    <x v="65"/>
    <x v="30"/>
    <x v="75"/>
    <x v="52"/>
    <x v="8"/>
  </r>
  <r>
    <x v="0"/>
    <x v="20"/>
    <x v="20"/>
    <x v="0"/>
    <x v="0"/>
    <x v="0"/>
    <x v="0"/>
    <x v="224"/>
    <x v="277"/>
    <x v="181"/>
    <x v="291"/>
    <x v="158"/>
    <x v="32"/>
    <x v="8"/>
  </r>
  <r>
    <x v="0"/>
    <x v="20"/>
    <x v="20"/>
    <x v="1"/>
    <x v="1"/>
    <x v="1"/>
    <x v="1"/>
    <x v="225"/>
    <x v="278"/>
    <x v="182"/>
    <x v="292"/>
    <x v="159"/>
    <x v="288"/>
    <x v="11"/>
  </r>
  <r>
    <x v="0"/>
    <x v="20"/>
    <x v="20"/>
    <x v="4"/>
    <x v="4"/>
    <x v="4"/>
    <x v="2"/>
    <x v="226"/>
    <x v="279"/>
    <x v="106"/>
    <x v="293"/>
    <x v="160"/>
    <x v="289"/>
    <x v="5"/>
  </r>
  <r>
    <x v="0"/>
    <x v="20"/>
    <x v="20"/>
    <x v="16"/>
    <x v="16"/>
    <x v="16"/>
    <x v="3"/>
    <x v="227"/>
    <x v="280"/>
    <x v="67"/>
    <x v="98"/>
    <x v="161"/>
    <x v="290"/>
    <x v="8"/>
  </r>
  <r>
    <x v="0"/>
    <x v="20"/>
    <x v="20"/>
    <x v="2"/>
    <x v="2"/>
    <x v="2"/>
    <x v="4"/>
    <x v="228"/>
    <x v="281"/>
    <x v="183"/>
    <x v="294"/>
    <x v="43"/>
    <x v="70"/>
    <x v="8"/>
  </r>
  <r>
    <x v="0"/>
    <x v="20"/>
    <x v="20"/>
    <x v="3"/>
    <x v="3"/>
    <x v="3"/>
    <x v="5"/>
    <x v="94"/>
    <x v="77"/>
    <x v="184"/>
    <x v="295"/>
    <x v="162"/>
    <x v="291"/>
    <x v="8"/>
  </r>
  <r>
    <x v="0"/>
    <x v="20"/>
    <x v="20"/>
    <x v="6"/>
    <x v="6"/>
    <x v="6"/>
    <x v="6"/>
    <x v="229"/>
    <x v="107"/>
    <x v="185"/>
    <x v="296"/>
    <x v="71"/>
    <x v="119"/>
    <x v="8"/>
  </r>
  <r>
    <x v="0"/>
    <x v="20"/>
    <x v="20"/>
    <x v="9"/>
    <x v="9"/>
    <x v="9"/>
    <x v="7"/>
    <x v="230"/>
    <x v="282"/>
    <x v="81"/>
    <x v="14"/>
    <x v="163"/>
    <x v="292"/>
    <x v="8"/>
  </r>
  <r>
    <x v="0"/>
    <x v="20"/>
    <x v="20"/>
    <x v="7"/>
    <x v="7"/>
    <x v="7"/>
    <x v="8"/>
    <x v="231"/>
    <x v="283"/>
    <x v="186"/>
    <x v="297"/>
    <x v="152"/>
    <x v="293"/>
    <x v="8"/>
  </r>
  <r>
    <x v="0"/>
    <x v="20"/>
    <x v="20"/>
    <x v="17"/>
    <x v="17"/>
    <x v="17"/>
    <x v="9"/>
    <x v="232"/>
    <x v="284"/>
    <x v="187"/>
    <x v="298"/>
    <x v="60"/>
    <x v="268"/>
    <x v="8"/>
  </r>
  <r>
    <x v="0"/>
    <x v="20"/>
    <x v="20"/>
    <x v="15"/>
    <x v="15"/>
    <x v="15"/>
    <x v="10"/>
    <x v="233"/>
    <x v="142"/>
    <x v="50"/>
    <x v="299"/>
    <x v="164"/>
    <x v="294"/>
    <x v="8"/>
  </r>
  <r>
    <x v="0"/>
    <x v="20"/>
    <x v="20"/>
    <x v="10"/>
    <x v="10"/>
    <x v="10"/>
    <x v="11"/>
    <x v="234"/>
    <x v="285"/>
    <x v="100"/>
    <x v="208"/>
    <x v="91"/>
    <x v="217"/>
    <x v="8"/>
  </r>
  <r>
    <x v="0"/>
    <x v="20"/>
    <x v="20"/>
    <x v="5"/>
    <x v="5"/>
    <x v="5"/>
    <x v="12"/>
    <x v="62"/>
    <x v="286"/>
    <x v="55"/>
    <x v="300"/>
    <x v="165"/>
    <x v="295"/>
    <x v="8"/>
  </r>
  <r>
    <x v="0"/>
    <x v="20"/>
    <x v="20"/>
    <x v="14"/>
    <x v="14"/>
    <x v="14"/>
    <x v="13"/>
    <x v="111"/>
    <x v="30"/>
    <x v="81"/>
    <x v="14"/>
    <x v="166"/>
    <x v="100"/>
    <x v="8"/>
  </r>
  <r>
    <x v="0"/>
    <x v="20"/>
    <x v="20"/>
    <x v="18"/>
    <x v="18"/>
    <x v="18"/>
    <x v="14"/>
    <x v="101"/>
    <x v="170"/>
    <x v="50"/>
    <x v="299"/>
    <x v="167"/>
    <x v="296"/>
    <x v="8"/>
  </r>
  <r>
    <x v="0"/>
    <x v="20"/>
    <x v="20"/>
    <x v="27"/>
    <x v="27"/>
    <x v="27"/>
    <x v="15"/>
    <x v="102"/>
    <x v="287"/>
    <x v="52"/>
    <x v="183"/>
    <x v="98"/>
    <x v="297"/>
    <x v="8"/>
  </r>
  <r>
    <x v="0"/>
    <x v="20"/>
    <x v="20"/>
    <x v="11"/>
    <x v="11"/>
    <x v="11"/>
    <x v="16"/>
    <x v="164"/>
    <x v="49"/>
    <x v="66"/>
    <x v="301"/>
    <x v="158"/>
    <x v="32"/>
    <x v="8"/>
  </r>
  <r>
    <x v="0"/>
    <x v="20"/>
    <x v="20"/>
    <x v="8"/>
    <x v="8"/>
    <x v="8"/>
    <x v="17"/>
    <x v="165"/>
    <x v="111"/>
    <x v="90"/>
    <x v="302"/>
    <x v="68"/>
    <x v="69"/>
    <x v="8"/>
  </r>
  <r>
    <x v="0"/>
    <x v="20"/>
    <x v="20"/>
    <x v="20"/>
    <x v="20"/>
    <x v="20"/>
    <x v="17"/>
    <x v="165"/>
    <x v="111"/>
    <x v="75"/>
    <x v="303"/>
    <x v="126"/>
    <x v="158"/>
    <x v="16"/>
  </r>
  <r>
    <x v="0"/>
    <x v="20"/>
    <x v="20"/>
    <x v="29"/>
    <x v="29"/>
    <x v="29"/>
    <x v="19"/>
    <x v="123"/>
    <x v="288"/>
    <x v="103"/>
    <x v="139"/>
    <x v="168"/>
    <x v="298"/>
    <x v="8"/>
  </r>
  <r>
    <x v="0"/>
    <x v="21"/>
    <x v="21"/>
    <x v="1"/>
    <x v="1"/>
    <x v="1"/>
    <x v="0"/>
    <x v="235"/>
    <x v="289"/>
    <x v="188"/>
    <x v="304"/>
    <x v="93"/>
    <x v="299"/>
    <x v="9"/>
  </r>
  <r>
    <x v="0"/>
    <x v="21"/>
    <x v="21"/>
    <x v="2"/>
    <x v="2"/>
    <x v="2"/>
    <x v="1"/>
    <x v="236"/>
    <x v="290"/>
    <x v="184"/>
    <x v="305"/>
    <x v="67"/>
    <x v="300"/>
    <x v="8"/>
  </r>
  <r>
    <x v="0"/>
    <x v="21"/>
    <x v="21"/>
    <x v="0"/>
    <x v="0"/>
    <x v="0"/>
    <x v="2"/>
    <x v="237"/>
    <x v="73"/>
    <x v="189"/>
    <x v="306"/>
    <x v="77"/>
    <x v="202"/>
    <x v="8"/>
  </r>
  <r>
    <x v="0"/>
    <x v="21"/>
    <x v="21"/>
    <x v="5"/>
    <x v="5"/>
    <x v="5"/>
    <x v="3"/>
    <x v="238"/>
    <x v="291"/>
    <x v="81"/>
    <x v="33"/>
    <x v="150"/>
    <x v="301"/>
    <x v="8"/>
  </r>
  <r>
    <x v="0"/>
    <x v="21"/>
    <x v="21"/>
    <x v="3"/>
    <x v="3"/>
    <x v="3"/>
    <x v="4"/>
    <x v="106"/>
    <x v="292"/>
    <x v="190"/>
    <x v="307"/>
    <x v="123"/>
    <x v="302"/>
    <x v="8"/>
  </r>
  <r>
    <x v="0"/>
    <x v="21"/>
    <x v="21"/>
    <x v="9"/>
    <x v="9"/>
    <x v="9"/>
    <x v="5"/>
    <x v="168"/>
    <x v="293"/>
    <x v="77"/>
    <x v="308"/>
    <x v="169"/>
    <x v="303"/>
    <x v="8"/>
  </r>
  <r>
    <x v="0"/>
    <x v="21"/>
    <x v="21"/>
    <x v="7"/>
    <x v="7"/>
    <x v="7"/>
    <x v="6"/>
    <x v="77"/>
    <x v="45"/>
    <x v="149"/>
    <x v="309"/>
    <x v="86"/>
    <x v="304"/>
    <x v="8"/>
  </r>
  <r>
    <x v="0"/>
    <x v="21"/>
    <x v="21"/>
    <x v="6"/>
    <x v="6"/>
    <x v="6"/>
    <x v="7"/>
    <x v="143"/>
    <x v="294"/>
    <x v="191"/>
    <x v="310"/>
    <x v="84"/>
    <x v="305"/>
    <x v="8"/>
  </r>
  <r>
    <x v="0"/>
    <x v="21"/>
    <x v="21"/>
    <x v="10"/>
    <x v="10"/>
    <x v="10"/>
    <x v="8"/>
    <x v="69"/>
    <x v="295"/>
    <x v="49"/>
    <x v="311"/>
    <x v="137"/>
    <x v="115"/>
    <x v="8"/>
  </r>
  <r>
    <x v="0"/>
    <x v="21"/>
    <x v="21"/>
    <x v="11"/>
    <x v="11"/>
    <x v="11"/>
    <x v="8"/>
    <x v="69"/>
    <x v="295"/>
    <x v="53"/>
    <x v="237"/>
    <x v="79"/>
    <x v="306"/>
    <x v="8"/>
  </r>
  <r>
    <x v="0"/>
    <x v="21"/>
    <x v="21"/>
    <x v="8"/>
    <x v="8"/>
    <x v="8"/>
    <x v="10"/>
    <x v="210"/>
    <x v="156"/>
    <x v="134"/>
    <x v="312"/>
    <x v="77"/>
    <x v="202"/>
    <x v="5"/>
  </r>
  <r>
    <x v="0"/>
    <x v="21"/>
    <x v="21"/>
    <x v="13"/>
    <x v="13"/>
    <x v="13"/>
    <x v="11"/>
    <x v="80"/>
    <x v="207"/>
    <x v="58"/>
    <x v="313"/>
    <x v="129"/>
    <x v="190"/>
    <x v="8"/>
  </r>
  <r>
    <x v="0"/>
    <x v="21"/>
    <x v="21"/>
    <x v="12"/>
    <x v="12"/>
    <x v="12"/>
    <x v="12"/>
    <x v="56"/>
    <x v="66"/>
    <x v="49"/>
    <x v="311"/>
    <x v="129"/>
    <x v="190"/>
    <x v="8"/>
  </r>
  <r>
    <x v="0"/>
    <x v="21"/>
    <x v="21"/>
    <x v="18"/>
    <x v="18"/>
    <x v="18"/>
    <x v="13"/>
    <x v="73"/>
    <x v="36"/>
    <x v="67"/>
    <x v="69"/>
    <x v="48"/>
    <x v="11"/>
    <x v="8"/>
  </r>
  <r>
    <x v="0"/>
    <x v="21"/>
    <x v="21"/>
    <x v="15"/>
    <x v="15"/>
    <x v="15"/>
    <x v="14"/>
    <x v="128"/>
    <x v="296"/>
    <x v="67"/>
    <x v="69"/>
    <x v="129"/>
    <x v="190"/>
    <x v="8"/>
  </r>
  <r>
    <x v="0"/>
    <x v="21"/>
    <x v="21"/>
    <x v="23"/>
    <x v="23"/>
    <x v="23"/>
    <x v="15"/>
    <x v="129"/>
    <x v="51"/>
    <x v="80"/>
    <x v="71"/>
    <x v="142"/>
    <x v="143"/>
    <x v="8"/>
  </r>
  <r>
    <x v="0"/>
    <x v="21"/>
    <x v="21"/>
    <x v="22"/>
    <x v="22"/>
    <x v="22"/>
    <x v="16"/>
    <x v="119"/>
    <x v="297"/>
    <x v="67"/>
    <x v="69"/>
    <x v="57"/>
    <x v="186"/>
    <x v="8"/>
  </r>
  <r>
    <x v="0"/>
    <x v="21"/>
    <x v="21"/>
    <x v="29"/>
    <x v="29"/>
    <x v="29"/>
    <x v="17"/>
    <x v="120"/>
    <x v="144"/>
    <x v="46"/>
    <x v="195"/>
    <x v="115"/>
    <x v="146"/>
    <x v="8"/>
  </r>
  <r>
    <x v="0"/>
    <x v="21"/>
    <x v="21"/>
    <x v="14"/>
    <x v="14"/>
    <x v="14"/>
    <x v="18"/>
    <x v="131"/>
    <x v="298"/>
    <x v="70"/>
    <x v="255"/>
    <x v="105"/>
    <x v="307"/>
    <x v="8"/>
  </r>
  <r>
    <x v="0"/>
    <x v="21"/>
    <x v="21"/>
    <x v="32"/>
    <x v="32"/>
    <x v="32"/>
    <x v="19"/>
    <x v="194"/>
    <x v="19"/>
    <x v="76"/>
    <x v="314"/>
    <x v="56"/>
    <x v="187"/>
    <x v="8"/>
  </r>
  <r>
    <x v="0"/>
    <x v="22"/>
    <x v="22"/>
    <x v="0"/>
    <x v="0"/>
    <x v="0"/>
    <x v="0"/>
    <x v="239"/>
    <x v="299"/>
    <x v="192"/>
    <x v="315"/>
    <x v="74"/>
    <x v="308"/>
    <x v="8"/>
  </r>
  <r>
    <x v="0"/>
    <x v="22"/>
    <x v="22"/>
    <x v="1"/>
    <x v="1"/>
    <x v="1"/>
    <x v="1"/>
    <x v="97"/>
    <x v="300"/>
    <x v="89"/>
    <x v="316"/>
    <x v="99"/>
    <x v="309"/>
    <x v="8"/>
  </r>
  <r>
    <x v="0"/>
    <x v="22"/>
    <x v="22"/>
    <x v="2"/>
    <x v="2"/>
    <x v="2"/>
    <x v="2"/>
    <x v="204"/>
    <x v="301"/>
    <x v="193"/>
    <x v="317"/>
    <x v="109"/>
    <x v="264"/>
    <x v="8"/>
  </r>
  <r>
    <x v="0"/>
    <x v="22"/>
    <x v="22"/>
    <x v="3"/>
    <x v="3"/>
    <x v="3"/>
    <x v="3"/>
    <x v="240"/>
    <x v="302"/>
    <x v="194"/>
    <x v="318"/>
    <x v="111"/>
    <x v="144"/>
    <x v="8"/>
  </r>
  <r>
    <x v="0"/>
    <x v="22"/>
    <x v="22"/>
    <x v="7"/>
    <x v="7"/>
    <x v="7"/>
    <x v="4"/>
    <x v="163"/>
    <x v="303"/>
    <x v="172"/>
    <x v="319"/>
    <x v="115"/>
    <x v="298"/>
    <x v="8"/>
  </r>
  <r>
    <x v="0"/>
    <x v="22"/>
    <x v="22"/>
    <x v="6"/>
    <x v="6"/>
    <x v="6"/>
    <x v="5"/>
    <x v="149"/>
    <x v="304"/>
    <x v="89"/>
    <x v="316"/>
    <x v="82"/>
    <x v="25"/>
    <x v="8"/>
  </r>
  <r>
    <x v="0"/>
    <x v="22"/>
    <x v="22"/>
    <x v="5"/>
    <x v="5"/>
    <x v="5"/>
    <x v="6"/>
    <x v="142"/>
    <x v="305"/>
    <x v="76"/>
    <x v="253"/>
    <x v="152"/>
    <x v="310"/>
    <x v="8"/>
  </r>
  <r>
    <x v="0"/>
    <x v="22"/>
    <x v="22"/>
    <x v="9"/>
    <x v="9"/>
    <x v="9"/>
    <x v="7"/>
    <x v="155"/>
    <x v="206"/>
    <x v="65"/>
    <x v="125"/>
    <x v="170"/>
    <x v="93"/>
    <x v="8"/>
  </r>
  <r>
    <x v="0"/>
    <x v="22"/>
    <x v="22"/>
    <x v="12"/>
    <x v="12"/>
    <x v="12"/>
    <x v="8"/>
    <x v="223"/>
    <x v="140"/>
    <x v="191"/>
    <x v="163"/>
    <x v="55"/>
    <x v="35"/>
    <x v="8"/>
  </r>
  <r>
    <x v="0"/>
    <x v="22"/>
    <x v="22"/>
    <x v="10"/>
    <x v="10"/>
    <x v="10"/>
    <x v="9"/>
    <x v="78"/>
    <x v="62"/>
    <x v="104"/>
    <x v="320"/>
    <x v="43"/>
    <x v="311"/>
    <x v="8"/>
  </r>
  <r>
    <x v="0"/>
    <x v="22"/>
    <x v="22"/>
    <x v="18"/>
    <x v="18"/>
    <x v="18"/>
    <x v="10"/>
    <x v="156"/>
    <x v="306"/>
    <x v="76"/>
    <x v="253"/>
    <x v="42"/>
    <x v="312"/>
    <x v="8"/>
  </r>
  <r>
    <x v="0"/>
    <x v="22"/>
    <x v="22"/>
    <x v="13"/>
    <x v="13"/>
    <x v="13"/>
    <x v="11"/>
    <x v="192"/>
    <x v="307"/>
    <x v="154"/>
    <x v="321"/>
    <x v="139"/>
    <x v="263"/>
    <x v="8"/>
  </r>
  <r>
    <x v="0"/>
    <x v="22"/>
    <x v="22"/>
    <x v="40"/>
    <x v="40"/>
    <x v="40"/>
    <x v="12"/>
    <x v="116"/>
    <x v="308"/>
    <x v="82"/>
    <x v="322"/>
    <x v="123"/>
    <x v="59"/>
    <x v="8"/>
  </r>
  <r>
    <x v="0"/>
    <x v="22"/>
    <x v="22"/>
    <x v="11"/>
    <x v="11"/>
    <x v="11"/>
    <x v="13"/>
    <x v="57"/>
    <x v="98"/>
    <x v="65"/>
    <x v="125"/>
    <x v="66"/>
    <x v="313"/>
    <x v="8"/>
  </r>
  <r>
    <x v="0"/>
    <x v="22"/>
    <x v="22"/>
    <x v="4"/>
    <x v="4"/>
    <x v="4"/>
    <x v="13"/>
    <x v="57"/>
    <x v="98"/>
    <x v="53"/>
    <x v="323"/>
    <x v="78"/>
    <x v="293"/>
    <x v="8"/>
  </r>
  <r>
    <x v="0"/>
    <x v="22"/>
    <x v="22"/>
    <x v="25"/>
    <x v="25"/>
    <x v="25"/>
    <x v="15"/>
    <x v="73"/>
    <x v="114"/>
    <x v="68"/>
    <x v="70"/>
    <x v="79"/>
    <x v="314"/>
    <x v="8"/>
  </r>
  <r>
    <x v="0"/>
    <x v="22"/>
    <x v="22"/>
    <x v="16"/>
    <x v="16"/>
    <x v="16"/>
    <x v="16"/>
    <x v="128"/>
    <x v="171"/>
    <x v="105"/>
    <x v="117"/>
    <x v="61"/>
    <x v="194"/>
    <x v="8"/>
  </r>
  <r>
    <x v="0"/>
    <x v="22"/>
    <x v="22"/>
    <x v="14"/>
    <x v="14"/>
    <x v="14"/>
    <x v="16"/>
    <x v="128"/>
    <x v="171"/>
    <x v="65"/>
    <x v="125"/>
    <x v="109"/>
    <x v="264"/>
    <x v="8"/>
  </r>
  <r>
    <x v="0"/>
    <x v="22"/>
    <x v="22"/>
    <x v="15"/>
    <x v="15"/>
    <x v="15"/>
    <x v="18"/>
    <x v="118"/>
    <x v="172"/>
    <x v="67"/>
    <x v="324"/>
    <x v="54"/>
    <x v="46"/>
    <x v="8"/>
  </r>
  <r>
    <x v="0"/>
    <x v="22"/>
    <x v="22"/>
    <x v="19"/>
    <x v="19"/>
    <x v="19"/>
    <x v="19"/>
    <x v="129"/>
    <x v="84"/>
    <x v="56"/>
    <x v="55"/>
    <x v="61"/>
    <x v="194"/>
    <x v="5"/>
  </r>
  <r>
    <x v="0"/>
    <x v="22"/>
    <x v="22"/>
    <x v="20"/>
    <x v="20"/>
    <x v="20"/>
    <x v="19"/>
    <x v="129"/>
    <x v="84"/>
    <x v="82"/>
    <x v="322"/>
    <x v="48"/>
    <x v="315"/>
    <x v="8"/>
  </r>
  <r>
    <x v="0"/>
    <x v="23"/>
    <x v="23"/>
    <x v="1"/>
    <x v="1"/>
    <x v="1"/>
    <x v="0"/>
    <x v="241"/>
    <x v="309"/>
    <x v="195"/>
    <x v="325"/>
    <x v="171"/>
    <x v="316"/>
    <x v="5"/>
  </r>
  <r>
    <x v="0"/>
    <x v="23"/>
    <x v="23"/>
    <x v="0"/>
    <x v="0"/>
    <x v="0"/>
    <x v="1"/>
    <x v="242"/>
    <x v="310"/>
    <x v="196"/>
    <x v="326"/>
    <x v="115"/>
    <x v="24"/>
    <x v="8"/>
  </r>
  <r>
    <x v="0"/>
    <x v="23"/>
    <x v="23"/>
    <x v="11"/>
    <x v="11"/>
    <x v="11"/>
    <x v="2"/>
    <x v="243"/>
    <x v="311"/>
    <x v="173"/>
    <x v="188"/>
    <x v="172"/>
    <x v="317"/>
    <x v="8"/>
  </r>
  <r>
    <x v="0"/>
    <x v="23"/>
    <x v="23"/>
    <x v="2"/>
    <x v="2"/>
    <x v="2"/>
    <x v="3"/>
    <x v="244"/>
    <x v="312"/>
    <x v="39"/>
    <x v="327"/>
    <x v="53"/>
    <x v="261"/>
    <x v="8"/>
  </r>
  <r>
    <x v="0"/>
    <x v="23"/>
    <x v="23"/>
    <x v="3"/>
    <x v="3"/>
    <x v="3"/>
    <x v="4"/>
    <x v="245"/>
    <x v="104"/>
    <x v="189"/>
    <x v="328"/>
    <x v="145"/>
    <x v="318"/>
    <x v="8"/>
  </r>
  <r>
    <x v="0"/>
    <x v="23"/>
    <x v="23"/>
    <x v="6"/>
    <x v="6"/>
    <x v="6"/>
    <x v="5"/>
    <x v="246"/>
    <x v="313"/>
    <x v="185"/>
    <x v="329"/>
    <x v="105"/>
    <x v="6"/>
    <x v="8"/>
  </r>
  <r>
    <x v="0"/>
    <x v="23"/>
    <x v="23"/>
    <x v="7"/>
    <x v="7"/>
    <x v="7"/>
    <x v="6"/>
    <x v="236"/>
    <x v="314"/>
    <x v="197"/>
    <x v="330"/>
    <x v="109"/>
    <x v="233"/>
    <x v="8"/>
  </r>
  <r>
    <x v="0"/>
    <x v="23"/>
    <x v="23"/>
    <x v="10"/>
    <x v="10"/>
    <x v="10"/>
    <x v="7"/>
    <x v="171"/>
    <x v="139"/>
    <x v="127"/>
    <x v="212"/>
    <x v="173"/>
    <x v="319"/>
    <x v="8"/>
  </r>
  <r>
    <x v="0"/>
    <x v="23"/>
    <x v="23"/>
    <x v="9"/>
    <x v="9"/>
    <x v="9"/>
    <x v="8"/>
    <x v="247"/>
    <x v="315"/>
    <x v="198"/>
    <x v="314"/>
    <x v="174"/>
    <x v="320"/>
    <x v="5"/>
  </r>
  <r>
    <x v="0"/>
    <x v="23"/>
    <x v="23"/>
    <x v="5"/>
    <x v="5"/>
    <x v="5"/>
    <x v="9"/>
    <x v="111"/>
    <x v="316"/>
    <x v="155"/>
    <x v="94"/>
    <x v="175"/>
    <x v="321"/>
    <x v="8"/>
  </r>
  <r>
    <x v="0"/>
    <x v="23"/>
    <x v="23"/>
    <x v="34"/>
    <x v="34"/>
    <x v="34"/>
    <x v="10"/>
    <x v="248"/>
    <x v="317"/>
    <x v="116"/>
    <x v="331"/>
    <x v="146"/>
    <x v="322"/>
    <x v="8"/>
  </r>
  <r>
    <x v="0"/>
    <x v="23"/>
    <x v="23"/>
    <x v="13"/>
    <x v="13"/>
    <x v="13"/>
    <x v="11"/>
    <x v="198"/>
    <x v="32"/>
    <x v="62"/>
    <x v="332"/>
    <x v="51"/>
    <x v="156"/>
    <x v="8"/>
  </r>
  <r>
    <x v="0"/>
    <x v="23"/>
    <x v="23"/>
    <x v="29"/>
    <x v="29"/>
    <x v="29"/>
    <x v="12"/>
    <x v="76"/>
    <x v="49"/>
    <x v="127"/>
    <x v="212"/>
    <x v="134"/>
    <x v="45"/>
    <x v="8"/>
  </r>
  <r>
    <x v="0"/>
    <x v="23"/>
    <x v="23"/>
    <x v="36"/>
    <x v="36"/>
    <x v="36"/>
    <x v="13"/>
    <x v="208"/>
    <x v="127"/>
    <x v="138"/>
    <x v="333"/>
    <x v="136"/>
    <x v="17"/>
    <x v="8"/>
  </r>
  <r>
    <x v="0"/>
    <x v="23"/>
    <x v="23"/>
    <x v="12"/>
    <x v="12"/>
    <x v="12"/>
    <x v="14"/>
    <x v="155"/>
    <x v="275"/>
    <x v="199"/>
    <x v="334"/>
    <x v="78"/>
    <x v="84"/>
    <x v="5"/>
  </r>
  <r>
    <x v="0"/>
    <x v="23"/>
    <x v="23"/>
    <x v="22"/>
    <x v="22"/>
    <x v="22"/>
    <x v="15"/>
    <x v="200"/>
    <x v="69"/>
    <x v="200"/>
    <x v="166"/>
    <x v="47"/>
    <x v="120"/>
    <x v="8"/>
  </r>
  <r>
    <x v="0"/>
    <x v="23"/>
    <x v="23"/>
    <x v="8"/>
    <x v="8"/>
    <x v="8"/>
    <x v="16"/>
    <x v="223"/>
    <x v="52"/>
    <x v="201"/>
    <x v="288"/>
    <x v="82"/>
    <x v="323"/>
    <x v="8"/>
  </r>
  <r>
    <x v="0"/>
    <x v="23"/>
    <x v="23"/>
    <x v="19"/>
    <x v="19"/>
    <x v="19"/>
    <x v="17"/>
    <x v="49"/>
    <x v="144"/>
    <x v="82"/>
    <x v="70"/>
    <x v="168"/>
    <x v="244"/>
    <x v="5"/>
  </r>
  <r>
    <x v="0"/>
    <x v="23"/>
    <x v="23"/>
    <x v="14"/>
    <x v="14"/>
    <x v="14"/>
    <x v="18"/>
    <x v="50"/>
    <x v="171"/>
    <x v="77"/>
    <x v="37"/>
    <x v="146"/>
    <x v="322"/>
    <x v="8"/>
  </r>
  <r>
    <x v="0"/>
    <x v="23"/>
    <x v="23"/>
    <x v="16"/>
    <x v="16"/>
    <x v="16"/>
    <x v="19"/>
    <x v="114"/>
    <x v="172"/>
    <x v="49"/>
    <x v="31"/>
    <x v="120"/>
    <x v="86"/>
    <x v="8"/>
  </r>
  <r>
    <x v="0"/>
    <x v="23"/>
    <x v="23"/>
    <x v="15"/>
    <x v="15"/>
    <x v="15"/>
    <x v="19"/>
    <x v="114"/>
    <x v="172"/>
    <x v="53"/>
    <x v="45"/>
    <x v="76"/>
    <x v="122"/>
    <x v="8"/>
  </r>
  <r>
    <x v="0"/>
    <x v="24"/>
    <x v="24"/>
    <x v="0"/>
    <x v="0"/>
    <x v="0"/>
    <x v="0"/>
    <x v="249"/>
    <x v="318"/>
    <x v="202"/>
    <x v="335"/>
    <x v="176"/>
    <x v="324"/>
    <x v="9"/>
  </r>
  <r>
    <x v="0"/>
    <x v="24"/>
    <x v="24"/>
    <x v="4"/>
    <x v="4"/>
    <x v="4"/>
    <x v="1"/>
    <x v="250"/>
    <x v="319"/>
    <x v="203"/>
    <x v="336"/>
    <x v="177"/>
    <x v="325"/>
    <x v="11"/>
  </r>
  <r>
    <x v="0"/>
    <x v="24"/>
    <x v="24"/>
    <x v="1"/>
    <x v="1"/>
    <x v="1"/>
    <x v="2"/>
    <x v="251"/>
    <x v="320"/>
    <x v="129"/>
    <x v="128"/>
    <x v="178"/>
    <x v="326"/>
    <x v="8"/>
  </r>
  <r>
    <x v="0"/>
    <x v="24"/>
    <x v="24"/>
    <x v="3"/>
    <x v="3"/>
    <x v="3"/>
    <x v="3"/>
    <x v="252"/>
    <x v="177"/>
    <x v="204"/>
    <x v="337"/>
    <x v="179"/>
    <x v="327"/>
    <x v="8"/>
  </r>
  <r>
    <x v="0"/>
    <x v="24"/>
    <x v="24"/>
    <x v="12"/>
    <x v="12"/>
    <x v="12"/>
    <x v="4"/>
    <x v="253"/>
    <x v="166"/>
    <x v="99"/>
    <x v="166"/>
    <x v="180"/>
    <x v="130"/>
    <x v="8"/>
  </r>
  <r>
    <x v="0"/>
    <x v="24"/>
    <x v="24"/>
    <x v="2"/>
    <x v="2"/>
    <x v="2"/>
    <x v="5"/>
    <x v="254"/>
    <x v="272"/>
    <x v="205"/>
    <x v="193"/>
    <x v="181"/>
    <x v="328"/>
    <x v="8"/>
  </r>
  <r>
    <x v="0"/>
    <x v="24"/>
    <x v="24"/>
    <x v="17"/>
    <x v="17"/>
    <x v="17"/>
    <x v="6"/>
    <x v="242"/>
    <x v="107"/>
    <x v="206"/>
    <x v="338"/>
    <x v="182"/>
    <x v="329"/>
    <x v="5"/>
  </r>
  <r>
    <x v="0"/>
    <x v="24"/>
    <x v="24"/>
    <x v="14"/>
    <x v="14"/>
    <x v="14"/>
    <x v="7"/>
    <x v="255"/>
    <x v="321"/>
    <x v="155"/>
    <x v="227"/>
    <x v="183"/>
    <x v="330"/>
    <x v="8"/>
  </r>
  <r>
    <x v="0"/>
    <x v="24"/>
    <x v="24"/>
    <x v="20"/>
    <x v="20"/>
    <x v="20"/>
    <x v="7"/>
    <x v="255"/>
    <x v="321"/>
    <x v="80"/>
    <x v="132"/>
    <x v="184"/>
    <x v="331"/>
    <x v="11"/>
  </r>
  <r>
    <x v="0"/>
    <x v="24"/>
    <x v="24"/>
    <x v="6"/>
    <x v="6"/>
    <x v="6"/>
    <x v="9"/>
    <x v="256"/>
    <x v="170"/>
    <x v="207"/>
    <x v="339"/>
    <x v="185"/>
    <x v="222"/>
    <x v="8"/>
  </r>
  <r>
    <x v="0"/>
    <x v="24"/>
    <x v="24"/>
    <x v="16"/>
    <x v="16"/>
    <x v="16"/>
    <x v="10"/>
    <x v="257"/>
    <x v="322"/>
    <x v="54"/>
    <x v="322"/>
    <x v="186"/>
    <x v="126"/>
    <x v="8"/>
  </r>
  <r>
    <x v="0"/>
    <x v="24"/>
    <x v="24"/>
    <x v="41"/>
    <x v="41"/>
    <x v="41"/>
    <x v="11"/>
    <x v="258"/>
    <x v="13"/>
    <x v="115"/>
    <x v="340"/>
    <x v="187"/>
    <x v="211"/>
    <x v="8"/>
  </r>
  <r>
    <x v="0"/>
    <x v="24"/>
    <x v="24"/>
    <x v="8"/>
    <x v="8"/>
    <x v="8"/>
    <x v="12"/>
    <x v="259"/>
    <x v="67"/>
    <x v="114"/>
    <x v="341"/>
    <x v="172"/>
    <x v="332"/>
    <x v="9"/>
  </r>
  <r>
    <x v="0"/>
    <x v="24"/>
    <x v="24"/>
    <x v="15"/>
    <x v="15"/>
    <x v="15"/>
    <x v="13"/>
    <x v="121"/>
    <x v="212"/>
    <x v="53"/>
    <x v="158"/>
    <x v="188"/>
    <x v="333"/>
    <x v="8"/>
  </r>
  <r>
    <x v="0"/>
    <x v="24"/>
    <x v="24"/>
    <x v="27"/>
    <x v="27"/>
    <x v="27"/>
    <x v="14"/>
    <x v="203"/>
    <x v="81"/>
    <x v="54"/>
    <x v="322"/>
    <x v="189"/>
    <x v="334"/>
    <x v="8"/>
  </r>
  <r>
    <x v="0"/>
    <x v="24"/>
    <x v="24"/>
    <x v="7"/>
    <x v="7"/>
    <x v="7"/>
    <x v="15"/>
    <x v="260"/>
    <x v="275"/>
    <x v="110"/>
    <x v="35"/>
    <x v="190"/>
    <x v="13"/>
    <x v="8"/>
  </r>
  <r>
    <x v="0"/>
    <x v="24"/>
    <x v="24"/>
    <x v="18"/>
    <x v="18"/>
    <x v="18"/>
    <x v="16"/>
    <x v="98"/>
    <x v="38"/>
    <x v="54"/>
    <x v="322"/>
    <x v="191"/>
    <x v="49"/>
    <x v="5"/>
  </r>
  <r>
    <x v="0"/>
    <x v="24"/>
    <x v="24"/>
    <x v="9"/>
    <x v="9"/>
    <x v="9"/>
    <x v="17"/>
    <x v="230"/>
    <x v="187"/>
    <x v="75"/>
    <x v="160"/>
    <x v="192"/>
    <x v="335"/>
    <x v="8"/>
  </r>
  <r>
    <x v="0"/>
    <x v="24"/>
    <x v="24"/>
    <x v="32"/>
    <x v="32"/>
    <x v="32"/>
    <x v="18"/>
    <x v="231"/>
    <x v="323"/>
    <x v="208"/>
    <x v="342"/>
    <x v="193"/>
    <x v="228"/>
    <x v="5"/>
  </r>
  <r>
    <x v="0"/>
    <x v="24"/>
    <x v="24"/>
    <x v="5"/>
    <x v="5"/>
    <x v="5"/>
    <x v="19"/>
    <x v="151"/>
    <x v="173"/>
    <x v="77"/>
    <x v="343"/>
    <x v="59"/>
    <x v="74"/>
    <x v="8"/>
  </r>
  <r>
    <x v="0"/>
    <x v="25"/>
    <x v="25"/>
    <x v="4"/>
    <x v="4"/>
    <x v="4"/>
    <x v="0"/>
    <x v="261"/>
    <x v="324"/>
    <x v="209"/>
    <x v="344"/>
    <x v="194"/>
    <x v="336"/>
    <x v="11"/>
  </r>
  <r>
    <x v="0"/>
    <x v="25"/>
    <x v="25"/>
    <x v="0"/>
    <x v="0"/>
    <x v="0"/>
    <x v="1"/>
    <x v="262"/>
    <x v="325"/>
    <x v="210"/>
    <x v="345"/>
    <x v="195"/>
    <x v="337"/>
    <x v="8"/>
  </r>
  <r>
    <x v="0"/>
    <x v="25"/>
    <x v="25"/>
    <x v="1"/>
    <x v="1"/>
    <x v="1"/>
    <x v="2"/>
    <x v="263"/>
    <x v="326"/>
    <x v="96"/>
    <x v="346"/>
    <x v="196"/>
    <x v="338"/>
    <x v="9"/>
  </r>
  <r>
    <x v="0"/>
    <x v="25"/>
    <x v="25"/>
    <x v="21"/>
    <x v="21"/>
    <x v="21"/>
    <x v="3"/>
    <x v="264"/>
    <x v="327"/>
    <x v="151"/>
    <x v="347"/>
    <x v="197"/>
    <x v="269"/>
    <x v="8"/>
  </r>
  <r>
    <x v="0"/>
    <x v="25"/>
    <x v="25"/>
    <x v="3"/>
    <x v="3"/>
    <x v="3"/>
    <x v="4"/>
    <x v="265"/>
    <x v="328"/>
    <x v="211"/>
    <x v="348"/>
    <x v="198"/>
    <x v="284"/>
    <x v="8"/>
  </r>
  <r>
    <x v="0"/>
    <x v="25"/>
    <x v="25"/>
    <x v="12"/>
    <x v="12"/>
    <x v="12"/>
    <x v="5"/>
    <x v="266"/>
    <x v="250"/>
    <x v="162"/>
    <x v="349"/>
    <x v="199"/>
    <x v="339"/>
    <x v="8"/>
  </r>
  <r>
    <x v="0"/>
    <x v="25"/>
    <x v="25"/>
    <x v="15"/>
    <x v="15"/>
    <x v="15"/>
    <x v="6"/>
    <x v="267"/>
    <x v="329"/>
    <x v="136"/>
    <x v="224"/>
    <x v="200"/>
    <x v="340"/>
    <x v="8"/>
  </r>
  <r>
    <x v="0"/>
    <x v="25"/>
    <x v="25"/>
    <x v="2"/>
    <x v="2"/>
    <x v="2"/>
    <x v="7"/>
    <x v="268"/>
    <x v="219"/>
    <x v="212"/>
    <x v="350"/>
    <x v="201"/>
    <x v="341"/>
    <x v="8"/>
  </r>
  <r>
    <x v="0"/>
    <x v="25"/>
    <x v="25"/>
    <x v="14"/>
    <x v="14"/>
    <x v="14"/>
    <x v="8"/>
    <x v="269"/>
    <x v="46"/>
    <x v="103"/>
    <x v="87"/>
    <x v="202"/>
    <x v="342"/>
    <x v="8"/>
  </r>
  <r>
    <x v="0"/>
    <x v="25"/>
    <x v="25"/>
    <x v="17"/>
    <x v="17"/>
    <x v="17"/>
    <x v="9"/>
    <x v="270"/>
    <x v="124"/>
    <x v="162"/>
    <x v="349"/>
    <x v="149"/>
    <x v="343"/>
    <x v="2"/>
  </r>
  <r>
    <x v="0"/>
    <x v="25"/>
    <x v="25"/>
    <x v="20"/>
    <x v="20"/>
    <x v="20"/>
    <x v="10"/>
    <x v="271"/>
    <x v="48"/>
    <x v="78"/>
    <x v="15"/>
    <x v="203"/>
    <x v="296"/>
    <x v="17"/>
  </r>
  <r>
    <x v="0"/>
    <x v="25"/>
    <x v="25"/>
    <x v="16"/>
    <x v="16"/>
    <x v="16"/>
    <x v="11"/>
    <x v="272"/>
    <x v="198"/>
    <x v="81"/>
    <x v="351"/>
    <x v="204"/>
    <x v="344"/>
    <x v="8"/>
  </r>
  <r>
    <x v="0"/>
    <x v="25"/>
    <x v="25"/>
    <x v="18"/>
    <x v="18"/>
    <x v="18"/>
    <x v="12"/>
    <x v="273"/>
    <x v="143"/>
    <x v="52"/>
    <x v="352"/>
    <x v="205"/>
    <x v="147"/>
    <x v="8"/>
  </r>
  <r>
    <x v="0"/>
    <x v="25"/>
    <x v="25"/>
    <x v="6"/>
    <x v="6"/>
    <x v="6"/>
    <x v="13"/>
    <x v="274"/>
    <x v="111"/>
    <x v="213"/>
    <x v="140"/>
    <x v="168"/>
    <x v="345"/>
    <x v="5"/>
  </r>
  <r>
    <x v="0"/>
    <x v="25"/>
    <x v="25"/>
    <x v="27"/>
    <x v="27"/>
    <x v="27"/>
    <x v="14"/>
    <x v="275"/>
    <x v="211"/>
    <x v="75"/>
    <x v="160"/>
    <x v="206"/>
    <x v="346"/>
    <x v="5"/>
  </r>
  <r>
    <x v="0"/>
    <x v="25"/>
    <x v="25"/>
    <x v="8"/>
    <x v="8"/>
    <x v="8"/>
    <x v="15"/>
    <x v="109"/>
    <x v="330"/>
    <x v="206"/>
    <x v="353"/>
    <x v="91"/>
    <x v="166"/>
    <x v="2"/>
  </r>
  <r>
    <x v="0"/>
    <x v="25"/>
    <x v="25"/>
    <x v="7"/>
    <x v="7"/>
    <x v="7"/>
    <x v="16"/>
    <x v="276"/>
    <x v="69"/>
    <x v="178"/>
    <x v="354"/>
    <x v="60"/>
    <x v="347"/>
    <x v="8"/>
  </r>
  <r>
    <x v="0"/>
    <x v="25"/>
    <x v="25"/>
    <x v="37"/>
    <x v="37"/>
    <x v="37"/>
    <x v="17"/>
    <x v="277"/>
    <x v="84"/>
    <x v="104"/>
    <x v="355"/>
    <x v="207"/>
    <x v="52"/>
    <x v="8"/>
  </r>
  <r>
    <x v="0"/>
    <x v="25"/>
    <x v="25"/>
    <x v="5"/>
    <x v="5"/>
    <x v="5"/>
    <x v="18"/>
    <x v="260"/>
    <x v="159"/>
    <x v="82"/>
    <x v="19"/>
    <x v="208"/>
    <x v="348"/>
    <x v="8"/>
  </r>
  <r>
    <x v="0"/>
    <x v="25"/>
    <x v="25"/>
    <x v="32"/>
    <x v="32"/>
    <x v="32"/>
    <x v="19"/>
    <x v="231"/>
    <x v="331"/>
    <x v="116"/>
    <x v="34"/>
    <x v="60"/>
    <x v="347"/>
    <x v="8"/>
  </r>
  <r>
    <x v="0"/>
    <x v="26"/>
    <x v="26"/>
    <x v="0"/>
    <x v="0"/>
    <x v="0"/>
    <x v="0"/>
    <x v="278"/>
    <x v="332"/>
    <x v="214"/>
    <x v="356"/>
    <x v="209"/>
    <x v="174"/>
    <x v="5"/>
  </r>
  <r>
    <x v="0"/>
    <x v="26"/>
    <x v="26"/>
    <x v="1"/>
    <x v="1"/>
    <x v="1"/>
    <x v="1"/>
    <x v="279"/>
    <x v="333"/>
    <x v="215"/>
    <x v="357"/>
    <x v="210"/>
    <x v="349"/>
    <x v="5"/>
  </r>
  <r>
    <x v="0"/>
    <x v="26"/>
    <x v="26"/>
    <x v="2"/>
    <x v="2"/>
    <x v="2"/>
    <x v="2"/>
    <x v="280"/>
    <x v="334"/>
    <x v="216"/>
    <x v="358"/>
    <x v="211"/>
    <x v="335"/>
    <x v="8"/>
  </r>
  <r>
    <x v="0"/>
    <x v="26"/>
    <x v="26"/>
    <x v="5"/>
    <x v="5"/>
    <x v="5"/>
    <x v="3"/>
    <x v="281"/>
    <x v="335"/>
    <x v="217"/>
    <x v="181"/>
    <x v="212"/>
    <x v="350"/>
    <x v="8"/>
  </r>
  <r>
    <x v="0"/>
    <x v="26"/>
    <x v="26"/>
    <x v="3"/>
    <x v="3"/>
    <x v="3"/>
    <x v="4"/>
    <x v="282"/>
    <x v="336"/>
    <x v="218"/>
    <x v="162"/>
    <x v="213"/>
    <x v="351"/>
    <x v="5"/>
  </r>
  <r>
    <x v="0"/>
    <x v="26"/>
    <x v="26"/>
    <x v="6"/>
    <x v="6"/>
    <x v="6"/>
    <x v="5"/>
    <x v="283"/>
    <x v="337"/>
    <x v="219"/>
    <x v="359"/>
    <x v="214"/>
    <x v="53"/>
    <x v="8"/>
  </r>
  <r>
    <x v="0"/>
    <x v="26"/>
    <x v="26"/>
    <x v="10"/>
    <x v="10"/>
    <x v="10"/>
    <x v="6"/>
    <x v="284"/>
    <x v="43"/>
    <x v="189"/>
    <x v="298"/>
    <x v="215"/>
    <x v="352"/>
    <x v="8"/>
  </r>
  <r>
    <x v="0"/>
    <x v="26"/>
    <x v="26"/>
    <x v="9"/>
    <x v="9"/>
    <x v="9"/>
    <x v="7"/>
    <x v="285"/>
    <x v="179"/>
    <x v="220"/>
    <x v="174"/>
    <x v="216"/>
    <x v="353"/>
    <x v="8"/>
  </r>
  <r>
    <x v="0"/>
    <x v="26"/>
    <x v="26"/>
    <x v="8"/>
    <x v="8"/>
    <x v="8"/>
    <x v="8"/>
    <x v="286"/>
    <x v="25"/>
    <x v="221"/>
    <x v="360"/>
    <x v="100"/>
    <x v="341"/>
    <x v="5"/>
  </r>
  <r>
    <x v="0"/>
    <x v="26"/>
    <x v="26"/>
    <x v="7"/>
    <x v="7"/>
    <x v="7"/>
    <x v="9"/>
    <x v="287"/>
    <x v="338"/>
    <x v="222"/>
    <x v="361"/>
    <x v="217"/>
    <x v="354"/>
    <x v="8"/>
  </r>
  <r>
    <x v="0"/>
    <x v="26"/>
    <x v="26"/>
    <x v="4"/>
    <x v="4"/>
    <x v="4"/>
    <x v="10"/>
    <x v="288"/>
    <x v="10"/>
    <x v="223"/>
    <x v="362"/>
    <x v="164"/>
    <x v="355"/>
    <x v="2"/>
  </r>
  <r>
    <x v="0"/>
    <x v="26"/>
    <x v="26"/>
    <x v="13"/>
    <x v="13"/>
    <x v="13"/>
    <x v="11"/>
    <x v="289"/>
    <x v="339"/>
    <x v="224"/>
    <x v="236"/>
    <x v="218"/>
    <x v="348"/>
    <x v="8"/>
  </r>
  <r>
    <x v="0"/>
    <x v="26"/>
    <x v="26"/>
    <x v="11"/>
    <x v="11"/>
    <x v="11"/>
    <x v="12"/>
    <x v="132"/>
    <x v="340"/>
    <x v="145"/>
    <x v="133"/>
    <x v="143"/>
    <x v="81"/>
    <x v="8"/>
  </r>
  <r>
    <x v="0"/>
    <x v="26"/>
    <x v="26"/>
    <x v="14"/>
    <x v="14"/>
    <x v="14"/>
    <x v="13"/>
    <x v="290"/>
    <x v="341"/>
    <x v="225"/>
    <x v="219"/>
    <x v="219"/>
    <x v="239"/>
    <x v="8"/>
  </r>
  <r>
    <x v="0"/>
    <x v="26"/>
    <x v="26"/>
    <x v="12"/>
    <x v="12"/>
    <x v="12"/>
    <x v="14"/>
    <x v="275"/>
    <x v="210"/>
    <x v="162"/>
    <x v="363"/>
    <x v="166"/>
    <x v="87"/>
    <x v="8"/>
  </r>
  <r>
    <x v="0"/>
    <x v="26"/>
    <x v="26"/>
    <x v="19"/>
    <x v="19"/>
    <x v="19"/>
    <x v="15"/>
    <x v="291"/>
    <x v="288"/>
    <x v="105"/>
    <x v="19"/>
    <x v="220"/>
    <x v="232"/>
    <x v="5"/>
  </r>
  <r>
    <x v="0"/>
    <x v="26"/>
    <x v="26"/>
    <x v="16"/>
    <x v="16"/>
    <x v="16"/>
    <x v="16"/>
    <x v="96"/>
    <x v="159"/>
    <x v="79"/>
    <x v="364"/>
    <x v="192"/>
    <x v="18"/>
    <x v="8"/>
  </r>
  <r>
    <x v="0"/>
    <x v="26"/>
    <x v="26"/>
    <x v="17"/>
    <x v="17"/>
    <x v="17"/>
    <x v="17"/>
    <x v="221"/>
    <x v="145"/>
    <x v="226"/>
    <x v="139"/>
    <x v="221"/>
    <x v="308"/>
    <x v="8"/>
  </r>
  <r>
    <x v="0"/>
    <x v="26"/>
    <x v="26"/>
    <x v="15"/>
    <x v="15"/>
    <x v="15"/>
    <x v="18"/>
    <x v="292"/>
    <x v="129"/>
    <x v="199"/>
    <x v="30"/>
    <x v="193"/>
    <x v="264"/>
    <x v="8"/>
  </r>
  <r>
    <x v="0"/>
    <x v="26"/>
    <x v="26"/>
    <x v="18"/>
    <x v="18"/>
    <x v="18"/>
    <x v="19"/>
    <x v="204"/>
    <x v="342"/>
    <x v="19"/>
    <x v="87"/>
    <x v="91"/>
    <x v="149"/>
    <x v="8"/>
  </r>
  <r>
    <x v="0"/>
    <x v="27"/>
    <x v="27"/>
    <x v="0"/>
    <x v="0"/>
    <x v="0"/>
    <x v="0"/>
    <x v="293"/>
    <x v="343"/>
    <x v="227"/>
    <x v="365"/>
    <x v="94"/>
    <x v="213"/>
    <x v="5"/>
  </r>
  <r>
    <x v="0"/>
    <x v="27"/>
    <x v="27"/>
    <x v="2"/>
    <x v="2"/>
    <x v="2"/>
    <x v="1"/>
    <x v="294"/>
    <x v="344"/>
    <x v="111"/>
    <x v="366"/>
    <x v="123"/>
    <x v="38"/>
    <x v="8"/>
  </r>
  <r>
    <x v="0"/>
    <x v="27"/>
    <x v="27"/>
    <x v="1"/>
    <x v="1"/>
    <x v="1"/>
    <x v="2"/>
    <x v="295"/>
    <x v="345"/>
    <x v="47"/>
    <x v="12"/>
    <x v="222"/>
    <x v="356"/>
    <x v="5"/>
  </r>
  <r>
    <x v="0"/>
    <x v="27"/>
    <x v="27"/>
    <x v="3"/>
    <x v="3"/>
    <x v="3"/>
    <x v="3"/>
    <x v="121"/>
    <x v="346"/>
    <x v="228"/>
    <x v="367"/>
    <x v="158"/>
    <x v="357"/>
    <x v="5"/>
  </r>
  <r>
    <x v="0"/>
    <x v="27"/>
    <x v="27"/>
    <x v="4"/>
    <x v="4"/>
    <x v="4"/>
    <x v="4"/>
    <x v="296"/>
    <x v="347"/>
    <x v="229"/>
    <x v="330"/>
    <x v="68"/>
    <x v="101"/>
    <x v="9"/>
  </r>
  <r>
    <x v="0"/>
    <x v="27"/>
    <x v="27"/>
    <x v="6"/>
    <x v="6"/>
    <x v="6"/>
    <x v="5"/>
    <x v="297"/>
    <x v="152"/>
    <x v="228"/>
    <x v="367"/>
    <x v="78"/>
    <x v="183"/>
    <x v="8"/>
  </r>
  <r>
    <x v="0"/>
    <x v="27"/>
    <x v="27"/>
    <x v="7"/>
    <x v="7"/>
    <x v="7"/>
    <x v="6"/>
    <x v="63"/>
    <x v="348"/>
    <x v="220"/>
    <x v="368"/>
    <x v="52"/>
    <x v="179"/>
    <x v="8"/>
  </r>
  <r>
    <x v="0"/>
    <x v="27"/>
    <x v="27"/>
    <x v="8"/>
    <x v="8"/>
    <x v="8"/>
    <x v="7"/>
    <x v="64"/>
    <x v="349"/>
    <x v="165"/>
    <x v="369"/>
    <x v="45"/>
    <x v="328"/>
    <x v="8"/>
  </r>
  <r>
    <x v="0"/>
    <x v="27"/>
    <x v="27"/>
    <x v="9"/>
    <x v="9"/>
    <x v="9"/>
    <x v="8"/>
    <x v="165"/>
    <x v="350"/>
    <x v="53"/>
    <x v="208"/>
    <x v="223"/>
    <x v="358"/>
    <x v="8"/>
  </r>
  <r>
    <x v="0"/>
    <x v="27"/>
    <x v="27"/>
    <x v="5"/>
    <x v="5"/>
    <x v="5"/>
    <x v="9"/>
    <x v="298"/>
    <x v="123"/>
    <x v="104"/>
    <x v="131"/>
    <x v="224"/>
    <x v="254"/>
    <x v="8"/>
  </r>
  <r>
    <x v="0"/>
    <x v="27"/>
    <x v="27"/>
    <x v="11"/>
    <x v="11"/>
    <x v="11"/>
    <x v="10"/>
    <x v="184"/>
    <x v="79"/>
    <x v="124"/>
    <x v="130"/>
    <x v="40"/>
    <x v="359"/>
    <x v="8"/>
  </r>
  <r>
    <x v="0"/>
    <x v="27"/>
    <x v="27"/>
    <x v="10"/>
    <x v="10"/>
    <x v="10"/>
    <x v="11"/>
    <x v="44"/>
    <x v="285"/>
    <x v="79"/>
    <x v="311"/>
    <x v="145"/>
    <x v="27"/>
    <x v="8"/>
  </r>
  <r>
    <x v="0"/>
    <x v="27"/>
    <x v="27"/>
    <x v="14"/>
    <x v="14"/>
    <x v="14"/>
    <x v="12"/>
    <x v="149"/>
    <x v="351"/>
    <x v="53"/>
    <x v="208"/>
    <x v="225"/>
    <x v="360"/>
    <x v="8"/>
  </r>
  <r>
    <x v="0"/>
    <x v="27"/>
    <x v="27"/>
    <x v="12"/>
    <x v="12"/>
    <x v="12"/>
    <x v="13"/>
    <x v="108"/>
    <x v="29"/>
    <x v="187"/>
    <x v="313"/>
    <x v="136"/>
    <x v="0"/>
    <x v="8"/>
  </r>
  <r>
    <x v="0"/>
    <x v="27"/>
    <x v="27"/>
    <x v="16"/>
    <x v="16"/>
    <x v="16"/>
    <x v="14"/>
    <x v="68"/>
    <x v="36"/>
    <x v="70"/>
    <x v="183"/>
    <x v="65"/>
    <x v="29"/>
    <x v="8"/>
  </r>
  <r>
    <x v="0"/>
    <x v="27"/>
    <x v="27"/>
    <x v="15"/>
    <x v="15"/>
    <x v="15"/>
    <x v="15"/>
    <x v="176"/>
    <x v="17"/>
    <x v="80"/>
    <x v="370"/>
    <x v="136"/>
    <x v="0"/>
    <x v="8"/>
  </r>
  <r>
    <x v="0"/>
    <x v="27"/>
    <x v="27"/>
    <x v="13"/>
    <x v="13"/>
    <x v="13"/>
    <x v="15"/>
    <x v="176"/>
    <x v="17"/>
    <x v="127"/>
    <x v="262"/>
    <x v="51"/>
    <x v="361"/>
    <x v="8"/>
  </r>
  <r>
    <x v="0"/>
    <x v="27"/>
    <x v="27"/>
    <x v="19"/>
    <x v="19"/>
    <x v="19"/>
    <x v="17"/>
    <x v="192"/>
    <x v="114"/>
    <x v="56"/>
    <x v="55"/>
    <x v="107"/>
    <x v="362"/>
    <x v="5"/>
  </r>
  <r>
    <x v="0"/>
    <x v="27"/>
    <x v="27"/>
    <x v="17"/>
    <x v="17"/>
    <x v="17"/>
    <x v="18"/>
    <x v="52"/>
    <x v="352"/>
    <x v="115"/>
    <x v="371"/>
    <x v="66"/>
    <x v="354"/>
    <x v="8"/>
  </r>
  <r>
    <x v="0"/>
    <x v="27"/>
    <x v="27"/>
    <x v="18"/>
    <x v="18"/>
    <x v="18"/>
    <x v="19"/>
    <x v="53"/>
    <x v="353"/>
    <x v="65"/>
    <x v="39"/>
    <x v="123"/>
    <x v="38"/>
    <x v="8"/>
  </r>
  <r>
    <x v="0"/>
    <x v="28"/>
    <x v="28"/>
    <x v="0"/>
    <x v="0"/>
    <x v="0"/>
    <x v="0"/>
    <x v="299"/>
    <x v="354"/>
    <x v="169"/>
    <x v="372"/>
    <x v="64"/>
    <x v="363"/>
    <x v="8"/>
  </r>
  <r>
    <x v="0"/>
    <x v="28"/>
    <x v="28"/>
    <x v="2"/>
    <x v="2"/>
    <x v="2"/>
    <x v="1"/>
    <x v="300"/>
    <x v="355"/>
    <x v="230"/>
    <x v="373"/>
    <x v="74"/>
    <x v="293"/>
    <x v="8"/>
  </r>
  <r>
    <x v="0"/>
    <x v="28"/>
    <x v="28"/>
    <x v="1"/>
    <x v="1"/>
    <x v="1"/>
    <x v="2"/>
    <x v="232"/>
    <x v="356"/>
    <x v="191"/>
    <x v="374"/>
    <x v="166"/>
    <x v="364"/>
    <x v="8"/>
  </r>
  <r>
    <x v="0"/>
    <x v="28"/>
    <x v="28"/>
    <x v="5"/>
    <x v="5"/>
    <x v="5"/>
    <x v="3"/>
    <x v="301"/>
    <x v="357"/>
    <x v="103"/>
    <x v="346"/>
    <x v="175"/>
    <x v="365"/>
    <x v="8"/>
  </r>
  <r>
    <x v="0"/>
    <x v="28"/>
    <x v="28"/>
    <x v="10"/>
    <x v="10"/>
    <x v="10"/>
    <x v="4"/>
    <x v="302"/>
    <x v="358"/>
    <x v="51"/>
    <x v="233"/>
    <x v="125"/>
    <x v="366"/>
    <x v="8"/>
  </r>
  <r>
    <x v="0"/>
    <x v="28"/>
    <x v="28"/>
    <x v="9"/>
    <x v="9"/>
    <x v="9"/>
    <x v="5"/>
    <x v="44"/>
    <x v="359"/>
    <x v="100"/>
    <x v="375"/>
    <x v="104"/>
    <x v="367"/>
    <x v="8"/>
  </r>
  <r>
    <x v="0"/>
    <x v="28"/>
    <x v="28"/>
    <x v="3"/>
    <x v="3"/>
    <x v="3"/>
    <x v="6"/>
    <x v="148"/>
    <x v="88"/>
    <x v="231"/>
    <x v="376"/>
    <x v="57"/>
    <x v="148"/>
    <x v="8"/>
  </r>
  <r>
    <x v="0"/>
    <x v="28"/>
    <x v="28"/>
    <x v="13"/>
    <x v="13"/>
    <x v="13"/>
    <x v="7"/>
    <x v="168"/>
    <x v="360"/>
    <x v="201"/>
    <x v="377"/>
    <x v="51"/>
    <x v="362"/>
    <x v="8"/>
  </r>
  <r>
    <x v="0"/>
    <x v="28"/>
    <x v="28"/>
    <x v="6"/>
    <x v="6"/>
    <x v="6"/>
    <x v="8"/>
    <x v="142"/>
    <x v="44"/>
    <x v="98"/>
    <x v="378"/>
    <x v="226"/>
    <x v="24"/>
    <x v="8"/>
  </r>
  <r>
    <x v="0"/>
    <x v="28"/>
    <x v="28"/>
    <x v="8"/>
    <x v="8"/>
    <x v="8"/>
    <x v="9"/>
    <x v="51"/>
    <x v="339"/>
    <x v="74"/>
    <x v="379"/>
    <x v="77"/>
    <x v="368"/>
    <x v="8"/>
  </r>
  <r>
    <x v="0"/>
    <x v="28"/>
    <x v="28"/>
    <x v="11"/>
    <x v="11"/>
    <x v="11"/>
    <x v="10"/>
    <x v="193"/>
    <x v="307"/>
    <x v="57"/>
    <x v="196"/>
    <x v="103"/>
    <x v="369"/>
    <x v="8"/>
  </r>
  <r>
    <x v="0"/>
    <x v="28"/>
    <x v="28"/>
    <x v="7"/>
    <x v="7"/>
    <x v="7"/>
    <x v="11"/>
    <x v="70"/>
    <x v="197"/>
    <x v="136"/>
    <x v="380"/>
    <x v="64"/>
    <x v="363"/>
    <x v="8"/>
  </r>
  <r>
    <x v="0"/>
    <x v="28"/>
    <x v="28"/>
    <x v="31"/>
    <x v="31"/>
    <x v="31"/>
    <x v="12"/>
    <x v="56"/>
    <x v="341"/>
    <x v="51"/>
    <x v="233"/>
    <x v="55"/>
    <x v="7"/>
    <x v="8"/>
  </r>
  <r>
    <x v="0"/>
    <x v="28"/>
    <x v="28"/>
    <x v="14"/>
    <x v="14"/>
    <x v="14"/>
    <x v="13"/>
    <x v="58"/>
    <x v="68"/>
    <x v="75"/>
    <x v="381"/>
    <x v="71"/>
    <x v="370"/>
    <x v="8"/>
  </r>
  <r>
    <x v="0"/>
    <x v="28"/>
    <x v="28"/>
    <x v="42"/>
    <x v="42"/>
    <x v="42"/>
    <x v="14"/>
    <x v="129"/>
    <x v="52"/>
    <x v="127"/>
    <x v="90"/>
    <x v="227"/>
    <x v="371"/>
    <x v="8"/>
  </r>
  <r>
    <x v="0"/>
    <x v="28"/>
    <x v="28"/>
    <x v="23"/>
    <x v="23"/>
    <x v="23"/>
    <x v="15"/>
    <x v="119"/>
    <x v="288"/>
    <x v="77"/>
    <x v="199"/>
    <x v="82"/>
    <x v="258"/>
    <x v="8"/>
  </r>
  <r>
    <x v="0"/>
    <x v="28"/>
    <x v="28"/>
    <x v="17"/>
    <x v="17"/>
    <x v="17"/>
    <x v="16"/>
    <x v="159"/>
    <x v="129"/>
    <x v="76"/>
    <x v="225"/>
    <x v="55"/>
    <x v="7"/>
    <x v="8"/>
  </r>
  <r>
    <x v="0"/>
    <x v="28"/>
    <x v="28"/>
    <x v="19"/>
    <x v="19"/>
    <x v="19"/>
    <x v="17"/>
    <x v="131"/>
    <x v="223"/>
    <x v="56"/>
    <x v="55"/>
    <x v="54"/>
    <x v="372"/>
    <x v="8"/>
  </r>
  <r>
    <x v="0"/>
    <x v="28"/>
    <x v="28"/>
    <x v="4"/>
    <x v="4"/>
    <x v="4"/>
    <x v="18"/>
    <x v="194"/>
    <x v="361"/>
    <x v="80"/>
    <x v="72"/>
    <x v="81"/>
    <x v="373"/>
    <x v="8"/>
  </r>
  <r>
    <x v="0"/>
    <x v="28"/>
    <x v="28"/>
    <x v="12"/>
    <x v="12"/>
    <x v="12"/>
    <x v="19"/>
    <x v="83"/>
    <x v="362"/>
    <x v="80"/>
    <x v="72"/>
    <x v="83"/>
    <x v="374"/>
    <x v="8"/>
  </r>
  <r>
    <x v="0"/>
    <x v="29"/>
    <x v="29"/>
    <x v="2"/>
    <x v="2"/>
    <x v="2"/>
    <x v="0"/>
    <x v="214"/>
    <x v="363"/>
    <x v="232"/>
    <x v="382"/>
    <x v="55"/>
    <x v="375"/>
    <x v="8"/>
  </r>
  <r>
    <x v="0"/>
    <x v="29"/>
    <x v="29"/>
    <x v="1"/>
    <x v="1"/>
    <x v="1"/>
    <x v="1"/>
    <x v="303"/>
    <x v="364"/>
    <x v="101"/>
    <x v="383"/>
    <x v="118"/>
    <x v="376"/>
    <x v="8"/>
  </r>
  <r>
    <x v="0"/>
    <x v="29"/>
    <x v="29"/>
    <x v="0"/>
    <x v="0"/>
    <x v="0"/>
    <x v="2"/>
    <x v="122"/>
    <x v="365"/>
    <x v="151"/>
    <x v="384"/>
    <x v="228"/>
    <x v="377"/>
    <x v="8"/>
  </r>
  <r>
    <x v="0"/>
    <x v="29"/>
    <x v="29"/>
    <x v="6"/>
    <x v="6"/>
    <x v="6"/>
    <x v="3"/>
    <x v="154"/>
    <x v="248"/>
    <x v="231"/>
    <x v="385"/>
    <x v="87"/>
    <x v="355"/>
    <x v="8"/>
  </r>
  <r>
    <x v="0"/>
    <x v="29"/>
    <x v="29"/>
    <x v="3"/>
    <x v="3"/>
    <x v="3"/>
    <x v="4"/>
    <x v="208"/>
    <x v="312"/>
    <x v="116"/>
    <x v="386"/>
    <x v="54"/>
    <x v="279"/>
    <x v="8"/>
  </r>
  <r>
    <x v="0"/>
    <x v="29"/>
    <x v="29"/>
    <x v="8"/>
    <x v="8"/>
    <x v="8"/>
    <x v="5"/>
    <x v="70"/>
    <x v="313"/>
    <x v="91"/>
    <x v="387"/>
    <x v="80"/>
    <x v="378"/>
    <x v="8"/>
  </r>
  <r>
    <x v="0"/>
    <x v="29"/>
    <x v="29"/>
    <x v="5"/>
    <x v="5"/>
    <x v="5"/>
    <x v="6"/>
    <x v="54"/>
    <x v="366"/>
    <x v="49"/>
    <x v="57"/>
    <x v="79"/>
    <x v="379"/>
    <x v="8"/>
  </r>
  <r>
    <x v="0"/>
    <x v="29"/>
    <x v="29"/>
    <x v="10"/>
    <x v="10"/>
    <x v="10"/>
    <x v="7"/>
    <x v="72"/>
    <x v="91"/>
    <x v="50"/>
    <x v="208"/>
    <x v="47"/>
    <x v="380"/>
    <x v="8"/>
  </r>
  <r>
    <x v="0"/>
    <x v="29"/>
    <x v="29"/>
    <x v="7"/>
    <x v="7"/>
    <x v="7"/>
    <x v="8"/>
    <x v="117"/>
    <x v="367"/>
    <x v="147"/>
    <x v="388"/>
    <x v="114"/>
    <x v="54"/>
    <x v="8"/>
  </r>
  <r>
    <x v="0"/>
    <x v="29"/>
    <x v="29"/>
    <x v="9"/>
    <x v="9"/>
    <x v="9"/>
    <x v="9"/>
    <x v="82"/>
    <x v="368"/>
    <x v="65"/>
    <x v="5"/>
    <x v="57"/>
    <x v="381"/>
    <x v="8"/>
  </r>
  <r>
    <x v="0"/>
    <x v="29"/>
    <x v="29"/>
    <x v="4"/>
    <x v="4"/>
    <x v="4"/>
    <x v="10"/>
    <x v="120"/>
    <x v="369"/>
    <x v="58"/>
    <x v="389"/>
    <x v="226"/>
    <x v="249"/>
    <x v="5"/>
  </r>
  <r>
    <x v="0"/>
    <x v="29"/>
    <x v="29"/>
    <x v="14"/>
    <x v="14"/>
    <x v="14"/>
    <x v="11"/>
    <x v="194"/>
    <x v="110"/>
    <x v="50"/>
    <x v="208"/>
    <x v="82"/>
    <x v="382"/>
    <x v="8"/>
  </r>
  <r>
    <x v="0"/>
    <x v="29"/>
    <x v="29"/>
    <x v="32"/>
    <x v="32"/>
    <x v="32"/>
    <x v="12"/>
    <x v="304"/>
    <x v="341"/>
    <x v="77"/>
    <x v="390"/>
    <x v="77"/>
    <x v="138"/>
    <x v="8"/>
  </r>
  <r>
    <x v="0"/>
    <x v="29"/>
    <x v="29"/>
    <x v="12"/>
    <x v="12"/>
    <x v="12"/>
    <x v="13"/>
    <x v="83"/>
    <x v="370"/>
    <x v="69"/>
    <x v="391"/>
    <x v="114"/>
    <x v="54"/>
    <x v="8"/>
  </r>
  <r>
    <x v="0"/>
    <x v="29"/>
    <x v="29"/>
    <x v="15"/>
    <x v="15"/>
    <x v="15"/>
    <x v="14"/>
    <x v="305"/>
    <x v="222"/>
    <x v="52"/>
    <x v="69"/>
    <x v="64"/>
    <x v="322"/>
    <x v="8"/>
  </r>
  <r>
    <x v="0"/>
    <x v="29"/>
    <x v="29"/>
    <x v="17"/>
    <x v="17"/>
    <x v="17"/>
    <x v="14"/>
    <x v="305"/>
    <x v="222"/>
    <x v="46"/>
    <x v="127"/>
    <x v="81"/>
    <x v="156"/>
    <x v="8"/>
  </r>
  <r>
    <x v="0"/>
    <x v="29"/>
    <x v="29"/>
    <x v="16"/>
    <x v="16"/>
    <x v="16"/>
    <x v="16"/>
    <x v="306"/>
    <x v="371"/>
    <x v="83"/>
    <x v="227"/>
    <x v="77"/>
    <x v="138"/>
    <x v="8"/>
  </r>
  <r>
    <x v="0"/>
    <x v="29"/>
    <x v="29"/>
    <x v="13"/>
    <x v="13"/>
    <x v="13"/>
    <x v="17"/>
    <x v="307"/>
    <x v="244"/>
    <x v="76"/>
    <x v="212"/>
    <x v="229"/>
    <x v="383"/>
    <x v="8"/>
  </r>
  <r>
    <x v="0"/>
    <x v="29"/>
    <x v="29"/>
    <x v="20"/>
    <x v="20"/>
    <x v="20"/>
    <x v="17"/>
    <x v="307"/>
    <x v="244"/>
    <x v="68"/>
    <x v="101"/>
    <x v="77"/>
    <x v="138"/>
    <x v="8"/>
  </r>
  <r>
    <x v="0"/>
    <x v="29"/>
    <x v="29"/>
    <x v="19"/>
    <x v="19"/>
    <x v="19"/>
    <x v="19"/>
    <x v="308"/>
    <x v="372"/>
    <x v="56"/>
    <x v="55"/>
    <x v="64"/>
    <x v="322"/>
    <x v="8"/>
  </r>
  <r>
    <x v="0"/>
    <x v="30"/>
    <x v="30"/>
    <x v="0"/>
    <x v="0"/>
    <x v="0"/>
    <x v="0"/>
    <x v="309"/>
    <x v="55"/>
    <x v="233"/>
    <x v="392"/>
    <x v="82"/>
    <x v="87"/>
    <x v="8"/>
  </r>
  <r>
    <x v="0"/>
    <x v="30"/>
    <x v="30"/>
    <x v="2"/>
    <x v="2"/>
    <x v="2"/>
    <x v="1"/>
    <x v="203"/>
    <x v="373"/>
    <x v="234"/>
    <x v="393"/>
    <x v="105"/>
    <x v="52"/>
    <x v="8"/>
  </r>
  <r>
    <x v="0"/>
    <x v="30"/>
    <x v="30"/>
    <x v="1"/>
    <x v="1"/>
    <x v="1"/>
    <x v="2"/>
    <x v="310"/>
    <x v="374"/>
    <x v="235"/>
    <x v="394"/>
    <x v="60"/>
    <x v="384"/>
    <x v="8"/>
  </r>
  <r>
    <x v="0"/>
    <x v="30"/>
    <x v="30"/>
    <x v="5"/>
    <x v="5"/>
    <x v="5"/>
    <x v="3"/>
    <x v="311"/>
    <x v="375"/>
    <x v="104"/>
    <x v="144"/>
    <x v="127"/>
    <x v="385"/>
    <x v="8"/>
  </r>
  <r>
    <x v="0"/>
    <x v="30"/>
    <x v="30"/>
    <x v="3"/>
    <x v="3"/>
    <x v="3"/>
    <x v="4"/>
    <x v="312"/>
    <x v="376"/>
    <x v="130"/>
    <x v="204"/>
    <x v="72"/>
    <x v="173"/>
    <x v="8"/>
  </r>
  <r>
    <x v="0"/>
    <x v="30"/>
    <x v="30"/>
    <x v="9"/>
    <x v="9"/>
    <x v="9"/>
    <x v="5"/>
    <x v="44"/>
    <x v="121"/>
    <x v="77"/>
    <x v="169"/>
    <x v="150"/>
    <x v="386"/>
    <x v="8"/>
  </r>
  <r>
    <x v="0"/>
    <x v="30"/>
    <x v="30"/>
    <x v="10"/>
    <x v="10"/>
    <x v="10"/>
    <x v="6"/>
    <x v="123"/>
    <x v="313"/>
    <x v="138"/>
    <x v="395"/>
    <x v="134"/>
    <x v="387"/>
    <x v="8"/>
  </r>
  <r>
    <x v="0"/>
    <x v="30"/>
    <x v="30"/>
    <x v="6"/>
    <x v="6"/>
    <x v="6"/>
    <x v="7"/>
    <x v="149"/>
    <x v="377"/>
    <x v="236"/>
    <x v="396"/>
    <x v="55"/>
    <x v="156"/>
    <x v="8"/>
  </r>
  <r>
    <x v="0"/>
    <x v="30"/>
    <x v="30"/>
    <x v="13"/>
    <x v="13"/>
    <x v="13"/>
    <x v="8"/>
    <x v="66"/>
    <x v="91"/>
    <x v="199"/>
    <x v="397"/>
    <x v="48"/>
    <x v="274"/>
    <x v="8"/>
  </r>
  <r>
    <x v="0"/>
    <x v="30"/>
    <x v="30"/>
    <x v="7"/>
    <x v="7"/>
    <x v="7"/>
    <x v="9"/>
    <x v="168"/>
    <x v="167"/>
    <x v="146"/>
    <x v="398"/>
    <x v="82"/>
    <x v="87"/>
    <x v="8"/>
  </r>
  <r>
    <x v="0"/>
    <x v="30"/>
    <x v="30"/>
    <x v="8"/>
    <x v="8"/>
    <x v="8"/>
    <x v="10"/>
    <x v="124"/>
    <x v="378"/>
    <x v="190"/>
    <x v="399"/>
    <x v="82"/>
    <x v="87"/>
    <x v="5"/>
  </r>
  <r>
    <x v="0"/>
    <x v="30"/>
    <x v="30"/>
    <x v="11"/>
    <x v="11"/>
    <x v="11"/>
    <x v="11"/>
    <x v="70"/>
    <x v="32"/>
    <x v="77"/>
    <x v="169"/>
    <x v="47"/>
    <x v="388"/>
    <x v="8"/>
  </r>
  <r>
    <x v="0"/>
    <x v="30"/>
    <x v="30"/>
    <x v="12"/>
    <x v="12"/>
    <x v="12"/>
    <x v="12"/>
    <x v="126"/>
    <x v="379"/>
    <x v="120"/>
    <x v="400"/>
    <x v="75"/>
    <x v="63"/>
    <x v="8"/>
  </r>
  <r>
    <x v="0"/>
    <x v="30"/>
    <x v="30"/>
    <x v="4"/>
    <x v="4"/>
    <x v="4"/>
    <x v="13"/>
    <x v="81"/>
    <x v="15"/>
    <x v="69"/>
    <x v="33"/>
    <x v="78"/>
    <x v="146"/>
    <x v="8"/>
  </r>
  <r>
    <x v="0"/>
    <x v="30"/>
    <x v="30"/>
    <x v="14"/>
    <x v="14"/>
    <x v="14"/>
    <x v="14"/>
    <x v="118"/>
    <x v="83"/>
    <x v="54"/>
    <x v="146"/>
    <x v="57"/>
    <x v="179"/>
    <x v="8"/>
  </r>
  <r>
    <x v="0"/>
    <x v="30"/>
    <x v="30"/>
    <x v="17"/>
    <x v="17"/>
    <x v="17"/>
    <x v="14"/>
    <x v="118"/>
    <x v="83"/>
    <x v="76"/>
    <x v="64"/>
    <x v="78"/>
    <x v="146"/>
    <x v="8"/>
  </r>
  <r>
    <x v="0"/>
    <x v="30"/>
    <x v="30"/>
    <x v="32"/>
    <x v="32"/>
    <x v="32"/>
    <x v="16"/>
    <x v="129"/>
    <x v="70"/>
    <x v="81"/>
    <x v="401"/>
    <x v="73"/>
    <x v="389"/>
    <x v="8"/>
  </r>
  <r>
    <x v="0"/>
    <x v="30"/>
    <x v="30"/>
    <x v="18"/>
    <x v="18"/>
    <x v="18"/>
    <x v="17"/>
    <x v="130"/>
    <x v="146"/>
    <x v="67"/>
    <x v="18"/>
    <x v="109"/>
    <x v="307"/>
    <x v="8"/>
  </r>
  <r>
    <x v="0"/>
    <x v="30"/>
    <x v="30"/>
    <x v="19"/>
    <x v="19"/>
    <x v="19"/>
    <x v="17"/>
    <x v="130"/>
    <x v="146"/>
    <x v="68"/>
    <x v="70"/>
    <x v="66"/>
    <x v="315"/>
    <x v="8"/>
  </r>
  <r>
    <x v="0"/>
    <x v="30"/>
    <x v="30"/>
    <x v="29"/>
    <x v="29"/>
    <x v="29"/>
    <x v="19"/>
    <x v="313"/>
    <x v="173"/>
    <x v="54"/>
    <x v="146"/>
    <x v="115"/>
    <x v="228"/>
    <x v="8"/>
  </r>
  <r>
    <x v="0"/>
    <x v="31"/>
    <x v="31"/>
    <x v="1"/>
    <x v="1"/>
    <x v="1"/>
    <x v="0"/>
    <x v="191"/>
    <x v="380"/>
    <x v="76"/>
    <x v="110"/>
    <x v="119"/>
    <x v="390"/>
    <x v="8"/>
  </r>
  <r>
    <x v="0"/>
    <x v="31"/>
    <x v="31"/>
    <x v="5"/>
    <x v="5"/>
    <x v="5"/>
    <x v="1"/>
    <x v="65"/>
    <x v="161"/>
    <x v="109"/>
    <x v="402"/>
    <x v="155"/>
    <x v="391"/>
    <x v="8"/>
  </r>
  <r>
    <x v="0"/>
    <x v="31"/>
    <x v="31"/>
    <x v="2"/>
    <x v="2"/>
    <x v="2"/>
    <x v="2"/>
    <x v="148"/>
    <x v="381"/>
    <x v="119"/>
    <x v="403"/>
    <x v="75"/>
    <x v="392"/>
    <x v="8"/>
  </r>
  <r>
    <x v="0"/>
    <x v="31"/>
    <x v="31"/>
    <x v="0"/>
    <x v="0"/>
    <x v="0"/>
    <x v="3"/>
    <x v="108"/>
    <x v="382"/>
    <x v="90"/>
    <x v="404"/>
    <x v="55"/>
    <x v="393"/>
    <x v="8"/>
  </r>
  <r>
    <x v="0"/>
    <x v="31"/>
    <x v="31"/>
    <x v="3"/>
    <x v="3"/>
    <x v="3"/>
    <x v="4"/>
    <x v="200"/>
    <x v="103"/>
    <x v="102"/>
    <x v="7"/>
    <x v="52"/>
    <x v="394"/>
    <x v="8"/>
  </r>
  <r>
    <x v="0"/>
    <x v="31"/>
    <x v="31"/>
    <x v="9"/>
    <x v="9"/>
    <x v="9"/>
    <x v="5"/>
    <x v="157"/>
    <x v="383"/>
    <x v="65"/>
    <x v="405"/>
    <x v="42"/>
    <x v="395"/>
    <x v="8"/>
  </r>
  <r>
    <x v="0"/>
    <x v="31"/>
    <x v="31"/>
    <x v="6"/>
    <x v="6"/>
    <x v="6"/>
    <x v="6"/>
    <x v="193"/>
    <x v="328"/>
    <x v="126"/>
    <x v="406"/>
    <x v="85"/>
    <x v="396"/>
    <x v="8"/>
  </r>
  <r>
    <x v="0"/>
    <x v="31"/>
    <x v="31"/>
    <x v="13"/>
    <x v="13"/>
    <x v="13"/>
    <x v="7"/>
    <x v="210"/>
    <x v="384"/>
    <x v="154"/>
    <x v="407"/>
    <x v="55"/>
    <x v="393"/>
    <x v="8"/>
  </r>
  <r>
    <x v="0"/>
    <x v="31"/>
    <x v="31"/>
    <x v="10"/>
    <x v="10"/>
    <x v="10"/>
    <x v="8"/>
    <x v="117"/>
    <x v="350"/>
    <x v="104"/>
    <x v="408"/>
    <x v="139"/>
    <x v="173"/>
    <x v="8"/>
  </r>
  <r>
    <x v="0"/>
    <x v="31"/>
    <x v="31"/>
    <x v="7"/>
    <x v="7"/>
    <x v="7"/>
    <x v="8"/>
    <x v="117"/>
    <x v="350"/>
    <x v="115"/>
    <x v="409"/>
    <x v="82"/>
    <x v="397"/>
    <x v="8"/>
  </r>
  <r>
    <x v="0"/>
    <x v="31"/>
    <x v="31"/>
    <x v="8"/>
    <x v="8"/>
    <x v="8"/>
    <x v="10"/>
    <x v="56"/>
    <x v="282"/>
    <x v="120"/>
    <x v="410"/>
    <x v="44"/>
    <x v="398"/>
    <x v="8"/>
  </r>
  <r>
    <x v="0"/>
    <x v="31"/>
    <x v="31"/>
    <x v="4"/>
    <x v="4"/>
    <x v="4"/>
    <x v="11"/>
    <x v="58"/>
    <x v="9"/>
    <x v="49"/>
    <x v="288"/>
    <x v="57"/>
    <x v="369"/>
    <x v="8"/>
  </r>
  <r>
    <x v="0"/>
    <x v="31"/>
    <x v="31"/>
    <x v="12"/>
    <x v="12"/>
    <x v="12"/>
    <x v="12"/>
    <x v="127"/>
    <x v="385"/>
    <x v="81"/>
    <x v="411"/>
    <x v="105"/>
    <x v="155"/>
    <x v="8"/>
  </r>
  <r>
    <x v="0"/>
    <x v="31"/>
    <x v="31"/>
    <x v="19"/>
    <x v="19"/>
    <x v="19"/>
    <x v="13"/>
    <x v="119"/>
    <x v="386"/>
    <x v="68"/>
    <x v="226"/>
    <x v="48"/>
    <x v="110"/>
    <x v="8"/>
  </r>
  <r>
    <x v="0"/>
    <x v="31"/>
    <x v="31"/>
    <x v="31"/>
    <x v="31"/>
    <x v="31"/>
    <x v="14"/>
    <x v="120"/>
    <x v="31"/>
    <x v="102"/>
    <x v="7"/>
    <x v="227"/>
    <x v="399"/>
    <x v="8"/>
  </r>
  <r>
    <x v="0"/>
    <x v="31"/>
    <x v="31"/>
    <x v="42"/>
    <x v="42"/>
    <x v="42"/>
    <x v="15"/>
    <x v="131"/>
    <x v="387"/>
    <x v="198"/>
    <x v="205"/>
    <x v="230"/>
    <x v="400"/>
    <x v="8"/>
  </r>
  <r>
    <x v="0"/>
    <x v="31"/>
    <x v="31"/>
    <x v="11"/>
    <x v="11"/>
    <x v="11"/>
    <x v="16"/>
    <x v="83"/>
    <x v="113"/>
    <x v="46"/>
    <x v="323"/>
    <x v="86"/>
    <x v="293"/>
    <x v="8"/>
  </r>
  <r>
    <x v="0"/>
    <x v="31"/>
    <x v="31"/>
    <x v="16"/>
    <x v="16"/>
    <x v="16"/>
    <x v="17"/>
    <x v="84"/>
    <x v="388"/>
    <x v="70"/>
    <x v="412"/>
    <x v="73"/>
    <x v="86"/>
    <x v="8"/>
  </r>
  <r>
    <x v="0"/>
    <x v="31"/>
    <x v="31"/>
    <x v="17"/>
    <x v="17"/>
    <x v="17"/>
    <x v="17"/>
    <x v="84"/>
    <x v="388"/>
    <x v="46"/>
    <x v="323"/>
    <x v="77"/>
    <x v="267"/>
    <x v="8"/>
  </r>
  <r>
    <x v="0"/>
    <x v="31"/>
    <x v="31"/>
    <x v="14"/>
    <x v="14"/>
    <x v="14"/>
    <x v="19"/>
    <x v="85"/>
    <x v="128"/>
    <x v="83"/>
    <x v="49"/>
    <x v="73"/>
    <x v="86"/>
    <x v="8"/>
  </r>
  <r>
    <x v="0"/>
    <x v="31"/>
    <x v="31"/>
    <x v="20"/>
    <x v="20"/>
    <x v="20"/>
    <x v="19"/>
    <x v="85"/>
    <x v="128"/>
    <x v="82"/>
    <x v="351"/>
    <x v="82"/>
    <x v="397"/>
    <x v="8"/>
  </r>
  <r>
    <x v="0"/>
    <x v="32"/>
    <x v="32"/>
    <x v="1"/>
    <x v="1"/>
    <x v="1"/>
    <x v="0"/>
    <x v="314"/>
    <x v="389"/>
    <x v="51"/>
    <x v="289"/>
    <x v="231"/>
    <x v="401"/>
    <x v="8"/>
  </r>
  <r>
    <x v="0"/>
    <x v="32"/>
    <x v="32"/>
    <x v="2"/>
    <x v="2"/>
    <x v="2"/>
    <x v="0"/>
    <x v="314"/>
    <x v="389"/>
    <x v="175"/>
    <x v="413"/>
    <x v="70"/>
    <x v="192"/>
    <x v="8"/>
  </r>
  <r>
    <x v="0"/>
    <x v="32"/>
    <x v="32"/>
    <x v="0"/>
    <x v="0"/>
    <x v="0"/>
    <x v="2"/>
    <x v="315"/>
    <x v="390"/>
    <x v="207"/>
    <x v="414"/>
    <x v="75"/>
    <x v="402"/>
    <x v="8"/>
  </r>
  <r>
    <x v="0"/>
    <x v="32"/>
    <x v="32"/>
    <x v="5"/>
    <x v="5"/>
    <x v="5"/>
    <x v="3"/>
    <x v="190"/>
    <x v="327"/>
    <x v="53"/>
    <x v="320"/>
    <x v="131"/>
    <x v="350"/>
    <x v="8"/>
  </r>
  <r>
    <x v="0"/>
    <x v="32"/>
    <x v="32"/>
    <x v="6"/>
    <x v="6"/>
    <x v="6"/>
    <x v="3"/>
    <x v="190"/>
    <x v="327"/>
    <x v="237"/>
    <x v="415"/>
    <x v="115"/>
    <x v="403"/>
    <x v="8"/>
  </r>
  <r>
    <x v="0"/>
    <x v="32"/>
    <x v="32"/>
    <x v="10"/>
    <x v="10"/>
    <x v="10"/>
    <x v="5"/>
    <x v="302"/>
    <x v="391"/>
    <x v="109"/>
    <x v="416"/>
    <x v="162"/>
    <x v="404"/>
    <x v="8"/>
  </r>
  <r>
    <x v="0"/>
    <x v="32"/>
    <x v="32"/>
    <x v="3"/>
    <x v="3"/>
    <x v="3"/>
    <x v="6"/>
    <x v="106"/>
    <x v="392"/>
    <x v="63"/>
    <x v="417"/>
    <x v="136"/>
    <x v="29"/>
    <x v="8"/>
  </r>
  <r>
    <x v="0"/>
    <x v="32"/>
    <x v="32"/>
    <x v="9"/>
    <x v="9"/>
    <x v="9"/>
    <x v="7"/>
    <x v="47"/>
    <x v="393"/>
    <x v="53"/>
    <x v="320"/>
    <x v="108"/>
    <x v="405"/>
    <x v="8"/>
  </r>
  <r>
    <x v="0"/>
    <x v="32"/>
    <x v="32"/>
    <x v="8"/>
    <x v="8"/>
    <x v="8"/>
    <x v="7"/>
    <x v="47"/>
    <x v="393"/>
    <x v="146"/>
    <x v="418"/>
    <x v="105"/>
    <x v="196"/>
    <x v="8"/>
  </r>
  <r>
    <x v="0"/>
    <x v="32"/>
    <x v="32"/>
    <x v="4"/>
    <x v="4"/>
    <x v="4"/>
    <x v="9"/>
    <x v="200"/>
    <x v="140"/>
    <x v="134"/>
    <x v="419"/>
    <x v="53"/>
    <x v="274"/>
    <x v="8"/>
  </r>
  <r>
    <x v="0"/>
    <x v="32"/>
    <x v="32"/>
    <x v="13"/>
    <x v="13"/>
    <x v="13"/>
    <x v="10"/>
    <x v="50"/>
    <x v="27"/>
    <x v="122"/>
    <x v="420"/>
    <x v="109"/>
    <x v="406"/>
    <x v="8"/>
  </r>
  <r>
    <x v="0"/>
    <x v="32"/>
    <x v="32"/>
    <x v="7"/>
    <x v="7"/>
    <x v="7"/>
    <x v="11"/>
    <x v="176"/>
    <x v="321"/>
    <x v="235"/>
    <x v="421"/>
    <x v="77"/>
    <x v="407"/>
    <x v="8"/>
  </r>
  <r>
    <x v="0"/>
    <x v="32"/>
    <x v="32"/>
    <x v="14"/>
    <x v="14"/>
    <x v="14"/>
    <x v="12"/>
    <x v="143"/>
    <x v="11"/>
    <x v="65"/>
    <x v="251"/>
    <x v="43"/>
    <x v="408"/>
    <x v="8"/>
  </r>
  <r>
    <x v="0"/>
    <x v="32"/>
    <x v="32"/>
    <x v="12"/>
    <x v="12"/>
    <x v="12"/>
    <x v="13"/>
    <x v="126"/>
    <x v="370"/>
    <x v="115"/>
    <x v="422"/>
    <x v="78"/>
    <x v="174"/>
    <x v="8"/>
  </r>
  <r>
    <x v="0"/>
    <x v="32"/>
    <x v="32"/>
    <x v="19"/>
    <x v="19"/>
    <x v="19"/>
    <x v="14"/>
    <x v="81"/>
    <x v="275"/>
    <x v="68"/>
    <x v="423"/>
    <x v="135"/>
    <x v="275"/>
    <x v="8"/>
  </r>
  <r>
    <x v="0"/>
    <x v="32"/>
    <x v="32"/>
    <x v="15"/>
    <x v="15"/>
    <x v="15"/>
    <x v="15"/>
    <x v="59"/>
    <x v="172"/>
    <x v="50"/>
    <x v="300"/>
    <x v="129"/>
    <x v="212"/>
    <x v="8"/>
  </r>
  <r>
    <x v="0"/>
    <x v="32"/>
    <x v="32"/>
    <x v="11"/>
    <x v="11"/>
    <x v="11"/>
    <x v="16"/>
    <x v="128"/>
    <x v="84"/>
    <x v="76"/>
    <x v="424"/>
    <x v="105"/>
    <x v="196"/>
    <x v="8"/>
  </r>
  <r>
    <x v="0"/>
    <x v="32"/>
    <x v="32"/>
    <x v="16"/>
    <x v="16"/>
    <x v="16"/>
    <x v="17"/>
    <x v="120"/>
    <x v="371"/>
    <x v="67"/>
    <x v="425"/>
    <x v="67"/>
    <x v="181"/>
    <x v="8"/>
  </r>
  <r>
    <x v="0"/>
    <x v="32"/>
    <x v="32"/>
    <x v="17"/>
    <x v="17"/>
    <x v="17"/>
    <x v="17"/>
    <x v="120"/>
    <x v="371"/>
    <x v="49"/>
    <x v="155"/>
    <x v="73"/>
    <x v="35"/>
    <x v="8"/>
  </r>
  <r>
    <x v="0"/>
    <x v="32"/>
    <x v="32"/>
    <x v="20"/>
    <x v="20"/>
    <x v="20"/>
    <x v="19"/>
    <x v="159"/>
    <x v="394"/>
    <x v="105"/>
    <x v="183"/>
    <x v="57"/>
    <x v="52"/>
    <x v="8"/>
  </r>
  <r>
    <x v="0"/>
    <x v="33"/>
    <x v="33"/>
    <x v="1"/>
    <x v="1"/>
    <x v="1"/>
    <x v="0"/>
    <x v="316"/>
    <x v="395"/>
    <x v="99"/>
    <x v="426"/>
    <x v="168"/>
    <x v="409"/>
    <x v="8"/>
  </r>
  <r>
    <x v="0"/>
    <x v="33"/>
    <x v="33"/>
    <x v="11"/>
    <x v="11"/>
    <x v="11"/>
    <x v="1"/>
    <x v="49"/>
    <x v="396"/>
    <x v="80"/>
    <x v="193"/>
    <x v="94"/>
    <x v="410"/>
    <x v="8"/>
  </r>
  <r>
    <x v="0"/>
    <x v="33"/>
    <x v="33"/>
    <x v="5"/>
    <x v="5"/>
    <x v="5"/>
    <x v="2"/>
    <x v="50"/>
    <x v="397"/>
    <x v="46"/>
    <x v="427"/>
    <x v="111"/>
    <x v="411"/>
    <x v="8"/>
  </r>
  <r>
    <x v="0"/>
    <x v="33"/>
    <x v="33"/>
    <x v="10"/>
    <x v="10"/>
    <x v="10"/>
    <x v="3"/>
    <x v="71"/>
    <x v="398"/>
    <x v="46"/>
    <x v="427"/>
    <x v="47"/>
    <x v="412"/>
    <x v="8"/>
  </r>
  <r>
    <x v="0"/>
    <x v="33"/>
    <x v="33"/>
    <x v="9"/>
    <x v="9"/>
    <x v="9"/>
    <x v="4"/>
    <x v="72"/>
    <x v="399"/>
    <x v="65"/>
    <x v="332"/>
    <x v="53"/>
    <x v="413"/>
    <x v="8"/>
  </r>
  <r>
    <x v="0"/>
    <x v="33"/>
    <x v="33"/>
    <x v="0"/>
    <x v="0"/>
    <x v="0"/>
    <x v="5"/>
    <x v="82"/>
    <x v="179"/>
    <x v="148"/>
    <x v="428"/>
    <x v="114"/>
    <x v="414"/>
    <x v="8"/>
  </r>
  <r>
    <x v="0"/>
    <x v="33"/>
    <x v="33"/>
    <x v="43"/>
    <x v="43"/>
    <x v="43"/>
    <x v="6"/>
    <x v="118"/>
    <x v="167"/>
    <x v="76"/>
    <x v="429"/>
    <x v="78"/>
    <x v="27"/>
    <x v="8"/>
  </r>
  <r>
    <x v="0"/>
    <x v="33"/>
    <x v="33"/>
    <x v="13"/>
    <x v="13"/>
    <x v="13"/>
    <x v="7"/>
    <x v="120"/>
    <x v="251"/>
    <x v="104"/>
    <x v="81"/>
    <x v="86"/>
    <x v="18"/>
    <x v="8"/>
  </r>
  <r>
    <x v="0"/>
    <x v="33"/>
    <x v="33"/>
    <x v="2"/>
    <x v="2"/>
    <x v="2"/>
    <x v="8"/>
    <x v="131"/>
    <x v="155"/>
    <x v="155"/>
    <x v="201"/>
    <x v="83"/>
    <x v="415"/>
    <x v="8"/>
  </r>
  <r>
    <x v="0"/>
    <x v="33"/>
    <x v="33"/>
    <x v="29"/>
    <x v="29"/>
    <x v="29"/>
    <x v="9"/>
    <x v="304"/>
    <x v="239"/>
    <x v="70"/>
    <x v="430"/>
    <x v="75"/>
    <x v="344"/>
    <x v="8"/>
  </r>
  <r>
    <x v="0"/>
    <x v="33"/>
    <x v="33"/>
    <x v="34"/>
    <x v="34"/>
    <x v="34"/>
    <x v="10"/>
    <x v="85"/>
    <x v="31"/>
    <x v="82"/>
    <x v="243"/>
    <x v="82"/>
    <x v="416"/>
    <x v="8"/>
  </r>
  <r>
    <x v="0"/>
    <x v="33"/>
    <x v="33"/>
    <x v="18"/>
    <x v="18"/>
    <x v="18"/>
    <x v="11"/>
    <x v="86"/>
    <x v="265"/>
    <x v="83"/>
    <x v="424"/>
    <x v="55"/>
    <x v="36"/>
    <x v="8"/>
  </r>
  <r>
    <x v="0"/>
    <x v="33"/>
    <x v="33"/>
    <x v="16"/>
    <x v="16"/>
    <x v="16"/>
    <x v="12"/>
    <x v="317"/>
    <x v="96"/>
    <x v="70"/>
    <x v="430"/>
    <x v="142"/>
    <x v="46"/>
    <x v="8"/>
  </r>
  <r>
    <x v="0"/>
    <x v="33"/>
    <x v="33"/>
    <x v="3"/>
    <x v="3"/>
    <x v="3"/>
    <x v="13"/>
    <x v="305"/>
    <x v="112"/>
    <x v="65"/>
    <x v="332"/>
    <x v="85"/>
    <x v="272"/>
    <x v="8"/>
  </r>
  <r>
    <x v="0"/>
    <x v="33"/>
    <x v="33"/>
    <x v="31"/>
    <x v="31"/>
    <x v="31"/>
    <x v="13"/>
    <x v="305"/>
    <x v="112"/>
    <x v="77"/>
    <x v="179"/>
    <x v="83"/>
    <x v="415"/>
    <x v="8"/>
  </r>
  <r>
    <x v="0"/>
    <x v="33"/>
    <x v="33"/>
    <x v="44"/>
    <x v="44"/>
    <x v="44"/>
    <x v="15"/>
    <x v="89"/>
    <x v="171"/>
    <x v="82"/>
    <x v="243"/>
    <x v="77"/>
    <x v="207"/>
    <x v="8"/>
  </r>
  <r>
    <x v="0"/>
    <x v="33"/>
    <x v="33"/>
    <x v="7"/>
    <x v="7"/>
    <x v="7"/>
    <x v="15"/>
    <x v="89"/>
    <x v="171"/>
    <x v="76"/>
    <x v="429"/>
    <x v="228"/>
    <x v="417"/>
    <x v="8"/>
  </r>
  <r>
    <x v="0"/>
    <x v="33"/>
    <x v="33"/>
    <x v="4"/>
    <x v="4"/>
    <x v="4"/>
    <x v="15"/>
    <x v="89"/>
    <x v="171"/>
    <x v="83"/>
    <x v="424"/>
    <x v="87"/>
    <x v="111"/>
    <x v="8"/>
  </r>
  <r>
    <x v="0"/>
    <x v="33"/>
    <x v="33"/>
    <x v="19"/>
    <x v="19"/>
    <x v="19"/>
    <x v="18"/>
    <x v="318"/>
    <x v="241"/>
    <x v="56"/>
    <x v="55"/>
    <x v="84"/>
    <x v="418"/>
    <x v="8"/>
  </r>
  <r>
    <x v="0"/>
    <x v="33"/>
    <x v="33"/>
    <x v="30"/>
    <x v="30"/>
    <x v="30"/>
    <x v="19"/>
    <x v="308"/>
    <x v="400"/>
    <x v="82"/>
    <x v="243"/>
    <x v="226"/>
    <x v="403"/>
    <x v="8"/>
  </r>
  <r>
    <x v="0"/>
    <x v="34"/>
    <x v="34"/>
    <x v="0"/>
    <x v="0"/>
    <x v="0"/>
    <x v="0"/>
    <x v="319"/>
    <x v="401"/>
    <x v="238"/>
    <x v="431"/>
    <x v="79"/>
    <x v="52"/>
    <x v="8"/>
  </r>
  <r>
    <x v="0"/>
    <x v="34"/>
    <x v="34"/>
    <x v="1"/>
    <x v="1"/>
    <x v="1"/>
    <x v="1"/>
    <x v="320"/>
    <x v="402"/>
    <x v="239"/>
    <x v="421"/>
    <x v="232"/>
    <x v="419"/>
    <x v="8"/>
  </r>
  <r>
    <x v="0"/>
    <x v="34"/>
    <x v="34"/>
    <x v="2"/>
    <x v="2"/>
    <x v="2"/>
    <x v="2"/>
    <x v="321"/>
    <x v="403"/>
    <x v="240"/>
    <x v="432"/>
    <x v="51"/>
    <x v="111"/>
    <x v="8"/>
  </r>
  <r>
    <x v="0"/>
    <x v="34"/>
    <x v="34"/>
    <x v="5"/>
    <x v="5"/>
    <x v="5"/>
    <x v="3"/>
    <x v="217"/>
    <x v="404"/>
    <x v="200"/>
    <x v="320"/>
    <x v="92"/>
    <x v="420"/>
    <x v="8"/>
  </r>
  <r>
    <x v="0"/>
    <x v="34"/>
    <x v="34"/>
    <x v="3"/>
    <x v="3"/>
    <x v="3"/>
    <x v="4"/>
    <x v="322"/>
    <x v="405"/>
    <x v="88"/>
    <x v="433"/>
    <x v="121"/>
    <x v="247"/>
    <x v="8"/>
  </r>
  <r>
    <x v="0"/>
    <x v="34"/>
    <x v="34"/>
    <x v="8"/>
    <x v="8"/>
    <x v="8"/>
    <x v="5"/>
    <x v="323"/>
    <x v="177"/>
    <x v="166"/>
    <x v="434"/>
    <x v="48"/>
    <x v="120"/>
    <x v="5"/>
  </r>
  <r>
    <x v="0"/>
    <x v="34"/>
    <x v="34"/>
    <x v="7"/>
    <x v="7"/>
    <x v="7"/>
    <x v="6"/>
    <x v="236"/>
    <x v="43"/>
    <x v="173"/>
    <x v="435"/>
    <x v="57"/>
    <x v="83"/>
    <x v="8"/>
  </r>
  <r>
    <x v="0"/>
    <x v="34"/>
    <x v="34"/>
    <x v="6"/>
    <x v="6"/>
    <x v="6"/>
    <x v="7"/>
    <x v="100"/>
    <x v="77"/>
    <x v="173"/>
    <x v="435"/>
    <x v="75"/>
    <x v="363"/>
    <x v="8"/>
  </r>
  <r>
    <x v="0"/>
    <x v="34"/>
    <x v="34"/>
    <x v="9"/>
    <x v="9"/>
    <x v="9"/>
    <x v="8"/>
    <x v="240"/>
    <x v="180"/>
    <x v="122"/>
    <x v="436"/>
    <x v="127"/>
    <x v="201"/>
    <x v="8"/>
  </r>
  <r>
    <x v="0"/>
    <x v="34"/>
    <x v="34"/>
    <x v="10"/>
    <x v="10"/>
    <x v="10"/>
    <x v="9"/>
    <x v="102"/>
    <x v="251"/>
    <x v="208"/>
    <x v="323"/>
    <x v="233"/>
    <x v="394"/>
    <x v="8"/>
  </r>
  <r>
    <x v="0"/>
    <x v="34"/>
    <x v="34"/>
    <x v="4"/>
    <x v="4"/>
    <x v="4"/>
    <x v="10"/>
    <x v="324"/>
    <x v="125"/>
    <x v="130"/>
    <x v="437"/>
    <x v="66"/>
    <x v="341"/>
    <x v="8"/>
  </r>
  <r>
    <x v="0"/>
    <x v="34"/>
    <x v="34"/>
    <x v="13"/>
    <x v="13"/>
    <x v="13"/>
    <x v="11"/>
    <x v="106"/>
    <x v="183"/>
    <x v="95"/>
    <x v="332"/>
    <x v="103"/>
    <x v="228"/>
    <x v="8"/>
  </r>
  <r>
    <x v="0"/>
    <x v="34"/>
    <x v="34"/>
    <x v="23"/>
    <x v="23"/>
    <x v="23"/>
    <x v="12"/>
    <x v="112"/>
    <x v="197"/>
    <x v="199"/>
    <x v="438"/>
    <x v="76"/>
    <x v="291"/>
    <x v="8"/>
  </r>
  <r>
    <x v="0"/>
    <x v="34"/>
    <x v="34"/>
    <x v="19"/>
    <x v="19"/>
    <x v="19"/>
    <x v="13"/>
    <x v="139"/>
    <x v="265"/>
    <x v="82"/>
    <x v="70"/>
    <x v="43"/>
    <x v="333"/>
    <x v="8"/>
  </r>
  <r>
    <x v="0"/>
    <x v="34"/>
    <x v="34"/>
    <x v="11"/>
    <x v="11"/>
    <x v="11"/>
    <x v="14"/>
    <x v="47"/>
    <x v="240"/>
    <x v="200"/>
    <x v="320"/>
    <x v="120"/>
    <x v="215"/>
    <x v="8"/>
  </r>
  <r>
    <x v="0"/>
    <x v="34"/>
    <x v="34"/>
    <x v="14"/>
    <x v="14"/>
    <x v="14"/>
    <x v="15"/>
    <x v="125"/>
    <x v="185"/>
    <x v="49"/>
    <x v="300"/>
    <x v="134"/>
    <x v="297"/>
    <x v="8"/>
  </r>
  <r>
    <x v="0"/>
    <x v="34"/>
    <x v="34"/>
    <x v="12"/>
    <x v="12"/>
    <x v="12"/>
    <x v="16"/>
    <x v="200"/>
    <x v="112"/>
    <x v="116"/>
    <x v="439"/>
    <x v="67"/>
    <x v="187"/>
    <x v="8"/>
  </r>
  <r>
    <x v="0"/>
    <x v="34"/>
    <x v="34"/>
    <x v="32"/>
    <x v="32"/>
    <x v="32"/>
    <x v="17"/>
    <x v="79"/>
    <x v="70"/>
    <x v="148"/>
    <x v="211"/>
    <x v="57"/>
    <x v="83"/>
    <x v="5"/>
  </r>
  <r>
    <x v="0"/>
    <x v="34"/>
    <x v="34"/>
    <x v="18"/>
    <x v="18"/>
    <x v="18"/>
    <x v="18"/>
    <x v="52"/>
    <x v="298"/>
    <x v="49"/>
    <x v="300"/>
    <x v="52"/>
    <x v="19"/>
    <x v="8"/>
  </r>
  <r>
    <x v="0"/>
    <x v="34"/>
    <x v="34"/>
    <x v="31"/>
    <x v="31"/>
    <x v="31"/>
    <x v="19"/>
    <x v="70"/>
    <x v="406"/>
    <x v="66"/>
    <x v="440"/>
    <x v="87"/>
    <x v="421"/>
    <x v="8"/>
  </r>
  <r>
    <x v="0"/>
    <x v="35"/>
    <x v="35"/>
    <x v="1"/>
    <x v="1"/>
    <x v="1"/>
    <x v="0"/>
    <x v="325"/>
    <x v="148"/>
    <x v="112"/>
    <x v="441"/>
    <x v="234"/>
    <x v="422"/>
    <x v="8"/>
  </r>
  <r>
    <x v="0"/>
    <x v="35"/>
    <x v="35"/>
    <x v="0"/>
    <x v="0"/>
    <x v="0"/>
    <x v="1"/>
    <x v="326"/>
    <x v="407"/>
    <x v="241"/>
    <x v="442"/>
    <x v="88"/>
    <x v="423"/>
    <x v="8"/>
  </r>
  <r>
    <x v="0"/>
    <x v="35"/>
    <x v="35"/>
    <x v="2"/>
    <x v="2"/>
    <x v="2"/>
    <x v="2"/>
    <x v="327"/>
    <x v="408"/>
    <x v="242"/>
    <x v="443"/>
    <x v="235"/>
    <x v="333"/>
    <x v="8"/>
  </r>
  <r>
    <x v="0"/>
    <x v="35"/>
    <x v="35"/>
    <x v="3"/>
    <x v="3"/>
    <x v="3"/>
    <x v="3"/>
    <x v="328"/>
    <x v="347"/>
    <x v="243"/>
    <x v="4"/>
    <x v="236"/>
    <x v="329"/>
    <x v="8"/>
  </r>
  <r>
    <x v="0"/>
    <x v="35"/>
    <x v="35"/>
    <x v="6"/>
    <x v="6"/>
    <x v="6"/>
    <x v="4"/>
    <x v="196"/>
    <x v="409"/>
    <x v="244"/>
    <x v="444"/>
    <x v="113"/>
    <x v="162"/>
    <x v="8"/>
  </r>
  <r>
    <x v="0"/>
    <x v="35"/>
    <x v="35"/>
    <x v="8"/>
    <x v="8"/>
    <x v="8"/>
    <x v="5"/>
    <x v="329"/>
    <x v="313"/>
    <x v="32"/>
    <x v="445"/>
    <x v="221"/>
    <x v="334"/>
    <x v="2"/>
  </r>
  <r>
    <x v="0"/>
    <x v="35"/>
    <x v="35"/>
    <x v="7"/>
    <x v="7"/>
    <x v="7"/>
    <x v="6"/>
    <x v="170"/>
    <x v="272"/>
    <x v="245"/>
    <x v="388"/>
    <x v="106"/>
    <x v="424"/>
    <x v="8"/>
  </r>
  <r>
    <x v="0"/>
    <x v="35"/>
    <x v="35"/>
    <x v="5"/>
    <x v="5"/>
    <x v="5"/>
    <x v="7"/>
    <x v="295"/>
    <x v="60"/>
    <x v="154"/>
    <x v="424"/>
    <x v="237"/>
    <x v="425"/>
    <x v="8"/>
  </r>
  <r>
    <x v="0"/>
    <x v="35"/>
    <x v="35"/>
    <x v="10"/>
    <x v="10"/>
    <x v="10"/>
    <x v="8"/>
    <x v="330"/>
    <x v="410"/>
    <x v="190"/>
    <x v="277"/>
    <x v="238"/>
    <x v="426"/>
    <x v="8"/>
  </r>
  <r>
    <x v="0"/>
    <x v="35"/>
    <x v="35"/>
    <x v="4"/>
    <x v="4"/>
    <x v="4"/>
    <x v="8"/>
    <x v="330"/>
    <x v="410"/>
    <x v="246"/>
    <x v="446"/>
    <x v="239"/>
    <x v="427"/>
    <x v="8"/>
  </r>
  <r>
    <x v="0"/>
    <x v="35"/>
    <x v="35"/>
    <x v="9"/>
    <x v="9"/>
    <x v="9"/>
    <x v="10"/>
    <x v="331"/>
    <x v="79"/>
    <x v="201"/>
    <x v="176"/>
    <x v="240"/>
    <x v="428"/>
    <x v="8"/>
  </r>
  <r>
    <x v="0"/>
    <x v="35"/>
    <x v="35"/>
    <x v="11"/>
    <x v="11"/>
    <x v="11"/>
    <x v="11"/>
    <x v="98"/>
    <x v="411"/>
    <x v="107"/>
    <x v="341"/>
    <x v="241"/>
    <x v="14"/>
    <x v="8"/>
  </r>
  <r>
    <x v="0"/>
    <x v="35"/>
    <x v="35"/>
    <x v="13"/>
    <x v="13"/>
    <x v="13"/>
    <x v="12"/>
    <x v="234"/>
    <x v="34"/>
    <x v="132"/>
    <x v="347"/>
    <x v="147"/>
    <x v="237"/>
    <x v="8"/>
  </r>
  <r>
    <x v="0"/>
    <x v="35"/>
    <x v="35"/>
    <x v="12"/>
    <x v="12"/>
    <x v="12"/>
    <x v="13"/>
    <x v="316"/>
    <x v="412"/>
    <x v="97"/>
    <x v="354"/>
    <x v="65"/>
    <x v="341"/>
    <x v="8"/>
  </r>
  <r>
    <x v="0"/>
    <x v="35"/>
    <x v="35"/>
    <x v="14"/>
    <x v="14"/>
    <x v="14"/>
    <x v="14"/>
    <x v="63"/>
    <x v="254"/>
    <x v="100"/>
    <x v="300"/>
    <x v="242"/>
    <x v="121"/>
    <x v="8"/>
  </r>
  <r>
    <x v="0"/>
    <x v="35"/>
    <x v="35"/>
    <x v="29"/>
    <x v="29"/>
    <x v="29"/>
    <x v="15"/>
    <x v="332"/>
    <x v="80"/>
    <x v="208"/>
    <x v="194"/>
    <x v="243"/>
    <x v="51"/>
    <x v="8"/>
  </r>
  <r>
    <x v="0"/>
    <x v="35"/>
    <x v="35"/>
    <x v="19"/>
    <x v="19"/>
    <x v="19"/>
    <x v="16"/>
    <x v="102"/>
    <x v="413"/>
    <x v="68"/>
    <x v="447"/>
    <x v="217"/>
    <x v="429"/>
    <x v="8"/>
  </r>
  <r>
    <x v="0"/>
    <x v="35"/>
    <x v="35"/>
    <x v="17"/>
    <x v="17"/>
    <x v="17"/>
    <x v="17"/>
    <x v="311"/>
    <x v="414"/>
    <x v="201"/>
    <x v="176"/>
    <x v="147"/>
    <x v="237"/>
    <x v="5"/>
  </r>
  <r>
    <x v="0"/>
    <x v="35"/>
    <x v="35"/>
    <x v="15"/>
    <x v="15"/>
    <x v="15"/>
    <x v="18"/>
    <x v="147"/>
    <x v="298"/>
    <x v="104"/>
    <x v="290"/>
    <x v="155"/>
    <x v="88"/>
    <x v="8"/>
  </r>
  <r>
    <x v="0"/>
    <x v="35"/>
    <x v="35"/>
    <x v="16"/>
    <x v="16"/>
    <x v="16"/>
    <x v="19"/>
    <x v="65"/>
    <x v="145"/>
    <x v="67"/>
    <x v="160"/>
    <x v="233"/>
    <x v="430"/>
    <x v="8"/>
  </r>
  <r>
    <x v="0"/>
    <x v="36"/>
    <x v="36"/>
    <x v="0"/>
    <x v="0"/>
    <x v="0"/>
    <x v="0"/>
    <x v="333"/>
    <x v="415"/>
    <x v="247"/>
    <x v="448"/>
    <x v="71"/>
    <x v="431"/>
    <x v="8"/>
  </r>
  <r>
    <x v="0"/>
    <x v="36"/>
    <x v="36"/>
    <x v="1"/>
    <x v="1"/>
    <x v="1"/>
    <x v="1"/>
    <x v="334"/>
    <x v="416"/>
    <x v="153"/>
    <x v="449"/>
    <x v="244"/>
    <x v="432"/>
    <x v="8"/>
  </r>
  <r>
    <x v="0"/>
    <x v="36"/>
    <x v="36"/>
    <x v="2"/>
    <x v="2"/>
    <x v="2"/>
    <x v="2"/>
    <x v="230"/>
    <x v="417"/>
    <x v="248"/>
    <x v="450"/>
    <x v="71"/>
    <x v="431"/>
    <x v="8"/>
  </r>
  <r>
    <x v="0"/>
    <x v="36"/>
    <x v="36"/>
    <x v="3"/>
    <x v="3"/>
    <x v="3"/>
    <x v="3"/>
    <x v="302"/>
    <x v="418"/>
    <x v="92"/>
    <x v="451"/>
    <x v="66"/>
    <x v="155"/>
    <x v="5"/>
  </r>
  <r>
    <x v="0"/>
    <x v="36"/>
    <x v="36"/>
    <x v="5"/>
    <x v="5"/>
    <x v="5"/>
    <x v="4"/>
    <x v="105"/>
    <x v="336"/>
    <x v="53"/>
    <x v="277"/>
    <x v="106"/>
    <x v="433"/>
    <x v="8"/>
  </r>
  <r>
    <x v="0"/>
    <x v="36"/>
    <x v="36"/>
    <x v="6"/>
    <x v="6"/>
    <x v="6"/>
    <x v="5"/>
    <x v="185"/>
    <x v="419"/>
    <x v="92"/>
    <x v="451"/>
    <x v="77"/>
    <x v="193"/>
    <x v="8"/>
  </r>
  <r>
    <x v="0"/>
    <x v="36"/>
    <x v="36"/>
    <x v="8"/>
    <x v="8"/>
    <x v="8"/>
    <x v="6"/>
    <x v="66"/>
    <x v="420"/>
    <x v="225"/>
    <x v="452"/>
    <x v="105"/>
    <x v="177"/>
    <x v="8"/>
  </r>
  <r>
    <x v="0"/>
    <x v="36"/>
    <x v="36"/>
    <x v="7"/>
    <x v="7"/>
    <x v="7"/>
    <x v="7"/>
    <x v="78"/>
    <x v="263"/>
    <x v="74"/>
    <x v="453"/>
    <x v="78"/>
    <x v="434"/>
    <x v="8"/>
  </r>
  <r>
    <x v="0"/>
    <x v="36"/>
    <x v="36"/>
    <x v="4"/>
    <x v="4"/>
    <x v="4"/>
    <x v="7"/>
    <x v="78"/>
    <x v="263"/>
    <x v="208"/>
    <x v="362"/>
    <x v="48"/>
    <x v="81"/>
    <x v="8"/>
  </r>
  <r>
    <x v="0"/>
    <x v="36"/>
    <x v="36"/>
    <x v="9"/>
    <x v="9"/>
    <x v="9"/>
    <x v="9"/>
    <x v="176"/>
    <x v="25"/>
    <x v="75"/>
    <x v="381"/>
    <x v="111"/>
    <x v="435"/>
    <x v="8"/>
  </r>
  <r>
    <x v="0"/>
    <x v="36"/>
    <x v="36"/>
    <x v="14"/>
    <x v="14"/>
    <x v="14"/>
    <x v="10"/>
    <x v="70"/>
    <x v="28"/>
    <x v="50"/>
    <x v="265"/>
    <x v="113"/>
    <x v="436"/>
    <x v="8"/>
  </r>
  <r>
    <x v="0"/>
    <x v="36"/>
    <x v="36"/>
    <x v="13"/>
    <x v="13"/>
    <x v="13"/>
    <x v="11"/>
    <x v="54"/>
    <x v="230"/>
    <x v="120"/>
    <x v="454"/>
    <x v="109"/>
    <x v="18"/>
    <x v="8"/>
  </r>
  <r>
    <x v="0"/>
    <x v="36"/>
    <x v="36"/>
    <x v="10"/>
    <x v="10"/>
    <x v="10"/>
    <x v="12"/>
    <x v="55"/>
    <x v="143"/>
    <x v="65"/>
    <x v="455"/>
    <x v="61"/>
    <x v="216"/>
    <x v="8"/>
  </r>
  <r>
    <x v="0"/>
    <x v="36"/>
    <x v="36"/>
    <x v="12"/>
    <x v="12"/>
    <x v="12"/>
    <x v="13"/>
    <x v="56"/>
    <x v="421"/>
    <x v="78"/>
    <x v="456"/>
    <x v="84"/>
    <x v="104"/>
    <x v="8"/>
  </r>
  <r>
    <x v="0"/>
    <x v="36"/>
    <x v="36"/>
    <x v="17"/>
    <x v="17"/>
    <x v="17"/>
    <x v="14"/>
    <x v="82"/>
    <x v="16"/>
    <x v="55"/>
    <x v="457"/>
    <x v="78"/>
    <x v="434"/>
    <x v="8"/>
  </r>
  <r>
    <x v="0"/>
    <x v="36"/>
    <x v="36"/>
    <x v="15"/>
    <x v="15"/>
    <x v="15"/>
    <x v="15"/>
    <x v="128"/>
    <x v="37"/>
    <x v="46"/>
    <x v="287"/>
    <x v="67"/>
    <x v="397"/>
    <x v="8"/>
  </r>
  <r>
    <x v="0"/>
    <x v="36"/>
    <x v="36"/>
    <x v="16"/>
    <x v="16"/>
    <x v="16"/>
    <x v="16"/>
    <x v="119"/>
    <x v="144"/>
    <x v="70"/>
    <x v="364"/>
    <x v="54"/>
    <x v="133"/>
    <x v="8"/>
  </r>
  <r>
    <x v="0"/>
    <x v="36"/>
    <x v="36"/>
    <x v="19"/>
    <x v="19"/>
    <x v="19"/>
    <x v="17"/>
    <x v="313"/>
    <x v="323"/>
    <x v="56"/>
    <x v="55"/>
    <x v="129"/>
    <x v="15"/>
    <x v="8"/>
  </r>
  <r>
    <x v="0"/>
    <x v="36"/>
    <x v="36"/>
    <x v="32"/>
    <x v="32"/>
    <x v="32"/>
    <x v="18"/>
    <x v="83"/>
    <x v="422"/>
    <x v="75"/>
    <x v="381"/>
    <x v="56"/>
    <x v="248"/>
    <x v="8"/>
  </r>
  <r>
    <x v="0"/>
    <x v="36"/>
    <x v="36"/>
    <x v="20"/>
    <x v="20"/>
    <x v="20"/>
    <x v="18"/>
    <x v="83"/>
    <x v="422"/>
    <x v="70"/>
    <x v="364"/>
    <x v="74"/>
    <x v="22"/>
    <x v="5"/>
  </r>
  <r>
    <x v="0"/>
    <x v="37"/>
    <x v="37"/>
    <x v="1"/>
    <x v="1"/>
    <x v="1"/>
    <x v="0"/>
    <x v="335"/>
    <x v="423"/>
    <x v="159"/>
    <x v="163"/>
    <x v="245"/>
    <x v="437"/>
    <x v="5"/>
  </r>
  <r>
    <x v="0"/>
    <x v="37"/>
    <x v="37"/>
    <x v="0"/>
    <x v="0"/>
    <x v="0"/>
    <x v="1"/>
    <x v="336"/>
    <x v="424"/>
    <x v="249"/>
    <x v="458"/>
    <x v="225"/>
    <x v="332"/>
    <x v="5"/>
  </r>
  <r>
    <x v="0"/>
    <x v="37"/>
    <x v="37"/>
    <x v="2"/>
    <x v="2"/>
    <x v="2"/>
    <x v="2"/>
    <x v="337"/>
    <x v="425"/>
    <x v="250"/>
    <x v="459"/>
    <x v="246"/>
    <x v="215"/>
    <x v="8"/>
  </r>
  <r>
    <x v="0"/>
    <x v="37"/>
    <x v="37"/>
    <x v="8"/>
    <x v="8"/>
    <x v="8"/>
    <x v="3"/>
    <x v="275"/>
    <x v="426"/>
    <x v="251"/>
    <x v="460"/>
    <x v="247"/>
    <x v="186"/>
    <x v="18"/>
  </r>
  <r>
    <x v="0"/>
    <x v="37"/>
    <x v="37"/>
    <x v="6"/>
    <x v="6"/>
    <x v="6"/>
    <x v="4"/>
    <x v="162"/>
    <x v="151"/>
    <x v="252"/>
    <x v="461"/>
    <x v="136"/>
    <x v="79"/>
    <x v="8"/>
  </r>
  <r>
    <x v="0"/>
    <x v="37"/>
    <x v="37"/>
    <x v="4"/>
    <x v="4"/>
    <x v="4"/>
    <x v="5"/>
    <x v="315"/>
    <x v="262"/>
    <x v="178"/>
    <x v="462"/>
    <x v="248"/>
    <x v="416"/>
    <x v="8"/>
  </r>
  <r>
    <x v="0"/>
    <x v="37"/>
    <x v="37"/>
    <x v="3"/>
    <x v="3"/>
    <x v="3"/>
    <x v="6"/>
    <x v="187"/>
    <x v="377"/>
    <x v="206"/>
    <x v="463"/>
    <x v="132"/>
    <x v="438"/>
    <x v="8"/>
  </r>
  <r>
    <x v="0"/>
    <x v="37"/>
    <x v="37"/>
    <x v="5"/>
    <x v="5"/>
    <x v="5"/>
    <x v="7"/>
    <x v="182"/>
    <x v="178"/>
    <x v="115"/>
    <x v="169"/>
    <x v="249"/>
    <x v="439"/>
    <x v="8"/>
  </r>
  <r>
    <x v="0"/>
    <x v="37"/>
    <x v="37"/>
    <x v="7"/>
    <x v="7"/>
    <x v="7"/>
    <x v="8"/>
    <x v="338"/>
    <x v="46"/>
    <x v="253"/>
    <x v="464"/>
    <x v="122"/>
    <x v="259"/>
    <x v="8"/>
  </r>
  <r>
    <x v="0"/>
    <x v="37"/>
    <x v="37"/>
    <x v="16"/>
    <x v="16"/>
    <x v="16"/>
    <x v="9"/>
    <x v="204"/>
    <x v="140"/>
    <x v="67"/>
    <x v="465"/>
    <x v="250"/>
    <x v="236"/>
    <x v="8"/>
  </r>
  <r>
    <x v="0"/>
    <x v="37"/>
    <x v="37"/>
    <x v="10"/>
    <x v="10"/>
    <x v="10"/>
    <x v="10"/>
    <x v="339"/>
    <x v="427"/>
    <x v="155"/>
    <x v="225"/>
    <x v="251"/>
    <x v="171"/>
    <x v="8"/>
  </r>
  <r>
    <x v="0"/>
    <x v="37"/>
    <x v="37"/>
    <x v="9"/>
    <x v="9"/>
    <x v="9"/>
    <x v="10"/>
    <x v="339"/>
    <x v="427"/>
    <x v="55"/>
    <x v="14"/>
    <x v="252"/>
    <x v="214"/>
    <x v="8"/>
  </r>
  <r>
    <x v="0"/>
    <x v="37"/>
    <x v="37"/>
    <x v="14"/>
    <x v="14"/>
    <x v="14"/>
    <x v="12"/>
    <x v="303"/>
    <x v="32"/>
    <x v="55"/>
    <x v="14"/>
    <x v="175"/>
    <x v="160"/>
    <x v="8"/>
  </r>
  <r>
    <x v="0"/>
    <x v="37"/>
    <x v="37"/>
    <x v="17"/>
    <x v="17"/>
    <x v="17"/>
    <x v="13"/>
    <x v="205"/>
    <x v="287"/>
    <x v="147"/>
    <x v="133"/>
    <x v="253"/>
    <x v="148"/>
    <x v="8"/>
  </r>
  <r>
    <x v="0"/>
    <x v="37"/>
    <x v="37"/>
    <x v="12"/>
    <x v="12"/>
    <x v="12"/>
    <x v="14"/>
    <x v="166"/>
    <x v="34"/>
    <x v="199"/>
    <x v="466"/>
    <x v="169"/>
    <x v="146"/>
    <x v="8"/>
  </r>
  <r>
    <x v="0"/>
    <x v="37"/>
    <x v="37"/>
    <x v="15"/>
    <x v="15"/>
    <x v="15"/>
    <x v="15"/>
    <x v="146"/>
    <x v="308"/>
    <x v="75"/>
    <x v="364"/>
    <x v="223"/>
    <x v="286"/>
    <x v="8"/>
  </r>
  <r>
    <x v="0"/>
    <x v="37"/>
    <x v="37"/>
    <x v="13"/>
    <x v="13"/>
    <x v="13"/>
    <x v="16"/>
    <x v="148"/>
    <x v="114"/>
    <x v="191"/>
    <x v="467"/>
    <x v="52"/>
    <x v="118"/>
    <x v="8"/>
  </r>
  <r>
    <x v="0"/>
    <x v="37"/>
    <x v="37"/>
    <x v="18"/>
    <x v="18"/>
    <x v="18"/>
    <x v="17"/>
    <x v="107"/>
    <x v="128"/>
    <x v="54"/>
    <x v="102"/>
    <x v="254"/>
    <x v="440"/>
    <x v="8"/>
  </r>
  <r>
    <x v="0"/>
    <x v="37"/>
    <x v="37"/>
    <x v="20"/>
    <x v="20"/>
    <x v="20"/>
    <x v="18"/>
    <x v="108"/>
    <x v="144"/>
    <x v="70"/>
    <x v="468"/>
    <x v="247"/>
    <x v="186"/>
    <x v="9"/>
  </r>
  <r>
    <x v="0"/>
    <x v="37"/>
    <x v="37"/>
    <x v="19"/>
    <x v="19"/>
    <x v="19"/>
    <x v="19"/>
    <x v="47"/>
    <x v="172"/>
    <x v="68"/>
    <x v="19"/>
    <x v="185"/>
    <x v="207"/>
    <x v="9"/>
  </r>
  <r>
    <x v="0"/>
    <x v="38"/>
    <x v="38"/>
    <x v="1"/>
    <x v="1"/>
    <x v="1"/>
    <x v="0"/>
    <x v="340"/>
    <x v="428"/>
    <x v="193"/>
    <x v="469"/>
    <x v="241"/>
    <x v="441"/>
    <x v="5"/>
  </r>
  <r>
    <x v="0"/>
    <x v="38"/>
    <x v="38"/>
    <x v="0"/>
    <x v="0"/>
    <x v="0"/>
    <x v="1"/>
    <x v="239"/>
    <x v="429"/>
    <x v="254"/>
    <x v="470"/>
    <x v="87"/>
    <x v="418"/>
    <x v="8"/>
  </r>
  <r>
    <x v="0"/>
    <x v="38"/>
    <x v="38"/>
    <x v="2"/>
    <x v="2"/>
    <x v="2"/>
    <x v="2"/>
    <x v="173"/>
    <x v="430"/>
    <x v="159"/>
    <x v="471"/>
    <x v="44"/>
    <x v="46"/>
    <x v="8"/>
  </r>
  <r>
    <x v="0"/>
    <x v="38"/>
    <x v="38"/>
    <x v="23"/>
    <x v="23"/>
    <x v="23"/>
    <x v="3"/>
    <x v="341"/>
    <x v="431"/>
    <x v="231"/>
    <x v="472"/>
    <x v="76"/>
    <x v="442"/>
    <x v="8"/>
  </r>
  <r>
    <x v="0"/>
    <x v="38"/>
    <x v="38"/>
    <x v="3"/>
    <x v="3"/>
    <x v="3"/>
    <x v="4"/>
    <x v="142"/>
    <x v="432"/>
    <x v="63"/>
    <x v="473"/>
    <x v="67"/>
    <x v="443"/>
    <x v="8"/>
  </r>
  <r>
    <x v="0"/>
    <x v="38"/>
    <x v="38"/>
    <x v="8"/>
    <x v="8"/>
    <x v="8"/>
    <x v="5"/>
    <x v="156"/>
    <x v="433"/>
    <x v="86"/>
    <x v="474"/>
    <x v="86"/>
    <x v="52"/>
    <x v="8"/>
  </r>
  <r>
    <x v="0"/>
    <x v="38"/>
    <x v="38"/>
    <x v="6"/>
    <x v="6"/>
    <x v="6"/>
    <x v="6"/>
    <x v="209"/>
    <x v="305"/>
    <x v="63"/>
    <x v="473"/>
    <x v="114"/>
    <x v="415"/>
    <x v="8"/>
  </r>
  <r>
    <x v="0"/>
    <x v="38"/>
    <x v="38"/>
    <x v="5"/>
    <x v="5"/>
    <x v="5"/>
    <x v="7"/>
    <x v="158"/>
    <x v="434"/>
    <x v="81"/>
    <x v="475"/>
    <x v="52"/>
    <x v="444"/>
    <x v="8"/>
  </r>
  <r>
    <x v="0"/>
    <x v="38"/>
    <x v="38"/>
    <x v="7"/>
    <x v="7"/>
    <x v="7"/>
    <x v="8"/>
    <x v="70"/>
    <x v="435"/>
    <x v="66"/>
    <x v="476"/>
    <x v="87"/>
    <x v="418"/>
    <x v="8"/>
  </r>
  <r>
    <x v="0"/>
    <x v="38"/>
    <x v="38"/>
    <x v="9"/>
    <x v="9"/>
    <x v="9"/>
    <x v="9"/>
    <x v="71"/>
    <x v="10"/>
    <x v="77"/>
    <x v="477"/>
    <x v="45"/>
    <x v="445"/>
    <x v="8"/>
  </r>
  <r>
    <x v="0"/>
    <x v="38"/>
    <x v="38"/>
    <x v="13"/>
    <x v="13"/>
    <x v="13"/>
    <x v="10"/>
    <x v="127"/>
    <x v="287"/>
    <x v="57"/>
    <x v="71"/>
    <x v="44"/>
    <x v="46"/>
    <x v="8"/>
  </r>
  <r>
    <x v="0"/>
    <x v="38"/>
    <x v="38"/>
    <x v="4"/>
    <x v="4"/>
    <x v="4"/>
    <x v="10"/>
    <x v="127"/>
    <x v="287"/>
    <x v="79"/>
    <x v="478"/>
    <x v="226"/>
    <x v="35"/>
    <x v="8"/>
  </r>
  <r>
    <x v="0"/>
    <x v="38"/>
    <x v="38"/>
    <x v="10"/>
    <x v="10"/>
    <x v="10"/>
    <x v="12"/>
    <x v="59"/>
    <x v="436"/>
    <x v="81"/>
    <x v="475"/>
    <x v="75"/>
    <x v="232"/>
    <x v="8"/>
  </r>
  <r>
    <x v="0"/>
    <x v="38"/>
    <x v="38"/>
    <x v="12"/>
    <x v="12"/>
    <x v="12"/>
    <x v="13"/>
    <x v="118"/>
    <x v="50"/>
    <x v="198"/>
    <x v="402"/>
    <x v="85"/>
    <x v="323"/>
    <x v="8"/>
  </r>
  <r>
    <x v="0"/>
    <x v="38"/>
    <x v="38"/>
    <x v="20"/>
    <x v="20"/>
    <x v="20"/>
    <x v="14"/>
    <x v="159"/>
    <x v="51"/>
    <x v="76"/>
    <x v="479"/>
    <x v="55"/>
    <x v="322"/>
    <x v="8"/>
  </r>
  <r>
    <x v="0"/>
    <x v="38"/>
    <x v="38"/>
    <x v="18"/>
    <x v="18"/>
    <x v="18"/>
    <x v="15"/>
    <x v="304"/>
    <x v="187"/>
    <x v="83"/>
    <x v="38"/>
    <x v="115"/>
    <x v="438"/>
    <x v="8"/>
  </r>
  <r>
    <x v="0"/>
    <x v="38"/>
    <x v="38"/>
    <x v="14"/>
    <x v="14"/>
    <x v="14"/>
    <x v="16"/>
    <x v="342"/>
    <x v="146"/>
    <x v="105"/>
    <x v="85"/>
    <x v="75"/>
    <x v="232"/>
    <x v="8"/>
  </r>
  <r>
    <x v="0"/>
    <x v="38"/>
    <x v="38"/>
    <x v="31"/>
    <x v="31"/>
    <x v="31"/>
    <x v="17"/>
    <x v="85"/>
    <x v="437"/>
    <x v="109"/>
    <x v="184"/>
    <x v="114"/>
    <x v="415"/>
    <x v="8"/>
  </r>
  <r>
    <x v="0"/>
    <x v="38"/>
    <x v="38"/>
    <x v="21"/>
    <x v="21"/>
    <x v="21"/>
    <x v="18"/>
    <x v="86"/>
    <x v="394"/>
    <x v="52"/>
    <x v="87"/>
    <x v="56"/>
    <x v="348"/>
    <x v="8"/>
  </r>
  <r>
    <x v="0"/>
    <x v="38"/>
    <x v="38"/>
    <x v="11"/>
    <x v="11"/>
    <x v="11"/>
    <x v="19"/>
    <x v="317"/>
    <x v="438"/>
    <x v="67"/>
    <x v="68"/>
    <x v="64"/>
    <x v="446"/>
    <x v="8"/>
  </r>
  <r>
    <x v="0"/>
    <x v="38"/>
    <x v="38"/>
    <x v="16"/>
    <x v="16"/>
    <x v="16"/>
    <x v="19"/>
    <x v="317"/>
    <x v="438"/>
    <x v="83"/>
    <x v="38"/>
    <x v="86"/>
    <x v="52"/>
    <x v="8"/>
  </r>
  <r>
    <x v="0"/>
    <x v="39"/>
    <x v="39"/>
    <x v="2"/>
    <x v="2"/>
    <x v="2"/>
    <x v="0"/>
    <x v="343"/>
    <x v="439"/>
    <x v="255"/>
    <x v="480"/>
    <x v="117"/>
    <x v="369"/>
    <x v="8"/>
  </r>
  <r>
    <x v="0"/>
    <x v="39"/>
    <x v="39"/>
    <x v="0"/>
    <x v="0"/>
    <x v="0"/>
    <x v="1"/>
    <x v="344"/>
    <x v="440"/>
    <x v="256"/>
    <x v="481"/>
    <x v="168"/>
    <x v="315"/>
    <x v="9"/>
  </r>
  <r>
    <x v="0"/>
    <x v="39"/>
    <x v="39"/>
    <x v="1"/>
    <x v="1"/>
    <x v="1"/>
    <x v="2"/>
    <x v="345"/>
    <x v="441"/>
    <x v="41"/>
    <x v="388"/>
    <x v="255"/>
    <x v="447"/>
    <x v="5"/>
  </r>
  <r>
    <x v="0"/>
    <x v="39"/>
    <x v="39"/>
    <x v="5"/>
    <x v="5"/>
    <x v="5"/>
    <x v="3"/>
    <x v="346"/>
    <x v="280"/>
    <x v="124"/>
    <x v="482"/>
    <x v="153"/>
    <x v="448"/>
    <x v="8"/>
  </r>
  <r>
    <x v="0"/>
    <x v="39"/>
    <x v="39"/>
    <x v="3"/>
    <x v="3"/>
    <x v="3"/>
    <x v="4"/>
    <x v="347"/>
    <x v="442"/>
    <x v="257"/>
    <x v="483"/>
    <x v="256"/>
    <x v="312"/>
    <x v="8"/>
  </r>
  <r>
    <x v="0"/>
    <x v="39"/>
    <x v="39"/>
    <x v="6"/>
    <x v="6"/>
    <x v="6"/>
    <x v="5"/>
    <x v="348"/>
    <x v="399"/>
    <x v="123"/>
    <x v="484"/>
    <x v="113"/>
    <x v="120"/>
    <x v="8"/>
  </r>
  <r>
    <x v="0"/>
    <x v="39"/>
    <x v="39"/>
    <x v="8"/>
    <x v="8"/>
    <x v="8"/>
    <x v="6"/>
    <x v="349"/>
    <x v="443"/>
    <x v="258"/>
    <x v="485"/>
    <x v="134"/>
    <x v="276"/>
    <x v="5"/>
  </r>
  <r>
    <x v="0"/>
    <x v="39"/>
    <x v="39"/>
    <x v="7"/>
    <x v="7"/>
    <x v="7"/>
    <x v="7"/>
    <x v="350"/>
    <x v="77"/>
    <x v="259"/>
    <x v="81"/>
    <x v="145"/>
    <x v="429"/>
    <x v="8"/>
  </r>
  <r>
    <x v="0"/>
    <x v="39"/>
    <x v="39"/>
    <x v="4"/>
    <x v="4"/>
    <x v="4"/>
    <x v="8"/>
    <x v="323"/>
    <x v="196"/>
    <x v="260"/>
    <x v="486"/>
    <x v="88"/>
    <x v="65"/>
    <x v="8"/>
  </r>
  <r>
    <x v="0"/>
    <x v="39"/>
    <x v="39"/>
    <x v="10"/>
    <x v="10"/>
    <x v="10"/>
    <x v="9"/>
    <x v="99"/>
    <x v="219"/>
    <x v="134"/>
    <x v="320"/>
    <x v="144"/>
    <x v="449"/>
    <x v="8"/>
  </r>
  <r>
    <x v="0"/>
    <x v="39"/>
    <x v="39"/>
    <x v="13"/>
    <x v="13"/>
    <x v="13"/>
    <x v="10"/>
    <x v="297"/>
    <x v="444"/>
    <x v="237"/>
    <x v="337"/>
    <x v="146"/>
    <x v="62"/>
    <x v="8"/>
  </r>
  <r>
    <x v="0"/>
    <x v="39"/>
    <x v="39"/>
    <x v="9"/>
    <x v="9"/>
    <x v="9"/>
    <x v="11"/>
    <x v="100"/>
    <x v="445"/>
    <x v="104"/>
    <x v="93"/>
    <x v="257"/>
    <x v="153"/>
    <x v="8"/>
  </r>
  <r>
    <x v="0"/>
    <x v="39"/>
    <x v="39"/>
    <x v="12"/>
    <x v="12"/>
    <x v="12"/>
    <x v="12"/>
    <x v="138"/>
    <x v="265"/>
    <x v="116"/>
    <x v="141"/>
    <x v="40"/>
    <x v="430"/>
    <x v="8"/>
  </r>
  <r>
    <x v="0"/>
    <x v="39"/>
    <x v="39"/>
    <x v="32"/>
    <x v="32"/>
    <x v="32"/>
    <x v="13"/>
    <x v="105"/>
    <x v="143"/>
    <x v="116"/>
    <x v="141"/>
    <x v="49"/>
    <x v="88"/>
    <x v="8"/>
  </r>
  <r>
    <x v="0"/>
    <x v="39"/>
    <x v="39"/>
    <x v="14"/>
    <x v="14"/>
    <x v="14"/>
    <x v="14"/>
    <x v="76"/>
    <x v="412"/>
    <x v="53"/>
    <x v="487"/>
    <x v="141"/>
    <x v="16"/>
    <x v="8"/>
  </r>
  <r>
    <x v="0"/>
    <x v="39"/>
    <x v="39"/>
    <x v="19"/>
    <x v="19"/>
    <x v="19"/>
    <x v="15"/>
    <x v="139"/>
    <x v="413"/>
    <x v="68"/>
    <x v="19"/>
    <x v="141"/>
    <x v="16"/>
    <x v="9"/>
  </r>
  <r>
    <x v="0"/>
    <x v="39"/>
    <x v="39"/>
    <x v="17"/>
    <x v="17"/>
    <x v="17"/>
    <x v="16"/>
    <x v="47"/>
    <x v="127"/>
    <x v="78"/>
    <x v="333"/>
    <x v="120"/>
    <x v="198"/>
    <x v="8"/>
  </r>
  <r>
    <x v="0"/>
    <x v="39"/>
    <x v="39"/>
    <x v="16"/>
    <x v="16"/>
    <x v="16"/>
    <x v="17"/>
    <x v="52"/>
    <x v="446"/>
    <x v="105"/>
    <x v="101"/>
    <x v="122"/>
    <x v="424"/>
    <x v="8"/>
  </r>
  <r>
    <x v="0"/>
    <x v="39"/>
    <x v="39"/>
    <x v="18"/>
    <x v="18"/>
    <x v="18"/>
    <x v="18"/>
    <x v="80"/>
    <x v="447"/>
    <x v="46"/>
    <x v="16"/>
    <x v="72"/>
    <x v="308"/>
    <x v="8"/>
  </r>
  <r>
    <x v="0"/>
    <x v="39"/>
    <x v="39"/>
    <x v="20"/>
    <x v="20"/>
    <x v="20"/>
    <x v="18"/>
    <x v="80"/>
    <x v="447"/>
    <x v="70"/>
    <x v="488"/>
    <x v="113"/>
    <x v="120"/>
    <x v="5"/>
  </r>
  <r>
    <x v="0"/>
    <x v="40"/>
    <x v="40"/>
    <x v="1"/>
    <x v="1"/>
    <x v="1"/>
    <x v="0"/>
    <x v="351"/>
    <x v="246"/>
    <x v="145"/>
    <x v="489"/>
    <x v="88"/>
    <x v="450"/>
    <x v="8"/>
  </r>
  <r>
    <x v="0"/>
    <x v="40"/>
    <x v="40"/>
    <x v="0"/>
    <x v="0"/>
    <x v="0"/>
    <x v="1"/>
    <x v="135"/>
    <x v="448"/>
    <x v="261"/>
    <x v="490"/>
    <x v="64"/>
    <x v="13"/>
    <x v="8"/>
  </r>
  <r>
    <x v="0"/>
    <x v="40"/>
    <x v="40"/>
    <x v="2"/>
    <x v="2"/>
    <x v="2"/>
    <x v="2"/>
    <x v="110"/>
    <x v="425"/>
    <x v="262"/>
    <x v="491"/>
    <x v="86"/>
    <x v="149"/>
    <x v="5"/>
  </r>
  <r>
    <x v="0"/>
    <x v="40"/>
    <x v="40"/>
    <x v="5"/>
    <x v="5"/>
    <x v="5"/>
    <x v="3"/>
    <x v="75"/>
    <x v="449"/>
    <x v="198"/>
    <x v="189"/>
    <x v="254"/>
    <x v="56"/>
    <x v="8"/>
  </r>
  <r>
    <x v="0"/>
    <x v="40"/>
    <x v="40"/>
    <x v="3"/>
    <x v="3"/>
    <x v="3"/>
    <x v="4"/>
    <x v="139"/>
    <x v="450"/>
    <x v="126"/>
    <x v="492"/>
    <x v="70"/>
    <x v="451"/>
    <x v="8"/>
  </r>
  <r>
    <x v="0"/>
    <x v="40"/>
    <x v="40"/>
    <x v="7"/>
    <x v="7"/>
    <x v="7"/>
    <x v="5"/>
    <x v="66"/>
    <x v="88"/>
    <x v="89"/>
    <x v="493"/>
    <x v="87"/>
    <x v="159"/>
    <x v="8"/>
  </r>
  <r>
    <x v="0"/>
    <x v="40"/>
    <x v="40"/>
    <x v="8"/>
    <x v="8"/>
    <x v="8"/>
    <x v="6"/>
    <x v="168"/>
    <x v="451"/>
    <x v="89"/>
    <x v="493"/>
    <x v="84"/>
    <x v="118"/>
    <x v="8"/>
  </r>
  <r>
    <x v="0"/>
    <x v="40"/>
    <x v="40"/>
    <x v="10"/>
    <x v="10"/>
    <x v="10"/>
    <x v="7"/>
    <x v="49"/>
    <x v="138"/>
    <x v="102"/>
    <x v="494"/>
    <x v="70"/>
    <x v="451"/>
    <x v="8"/>
  </r>
  <r>
    <x v="0"/>
    <x v="40"/>
    <x v="40"/>
    <x v="11"/>
    <x v="11"/>
    <x v="11"/>
    <x v="8"/>
    <x v="51"/>
    <x v="61"/>
    <x v="58"/>
    <x v="482"/>
    <x v="70"/>
    <x v="451"/>
    <x v="8"/>
  </r>
  <r>
    <x v="0"/>
    <x v="40"/>
    <x v="40"/>
    <x v="6"/>
    <x v="6"/>
    <x v="6"/>
    <x v="9"/>
    <x v="53"/>
    <x v="284"/>
    <x v="86"/>
    <x v="495"/>
    <x v="83"/>
    <x v="421"/>
    <x v="8"/>
  </r>
  <r>
    <x v="0"/>
    <x v="40"/>
    <x v="40"/>
    <x v="9"/>
    <x v="9"/>
    <x v="9"/>
    <x v="10"/>
    <x v="177"/>
    <x v="8"/>
    <x v="49"/>
    <x v="496"/>
    <x v="72"/>
    <x v="452"/>
    <x v="8"/>
  </r>
  <r>
    <x v="0"/>
    <x v="40"/>
    <x v="40"/>
    <x v="13"/>
    <x v="13"/>
    <x v="13"/>
    <x v="10"/>
    <x v="177"/>
    <x v="8"/>
    <x v="136"/>
    <x v="497"/>
    <x v="142"/>
    <x v="237"/>
    <x v="8"/>
  </r>
  <r>
    <x v="0"/>
    <x v="40"/>
    <x v="40"/>
    <x v="23"/>
    <x v="23"/>
    <x v="23"/>
    <x v="12"/>
    <x v="81"/>
    <x v="452"/>
    <x v="80"/>
    <x v="341"/>
    <x v="115"/>
    <x v="158"/>
    <x v="8"/>
  </r>
  <r>
    <x v="0"/>
    <x v="40"/>
    <x v="40"/>
    <x v="31"/>
    <x v="31"/>
    <x v="31"/>
    <x v="13"/>
    <x v="59"/>
    <x v="308"/>
    <x v="78"/>
    <x v="498"/>
    <x v="228"/>
    <x v="453"/>
    <x v="8"/>
  </r>
  <r>
    <x v="0"/>
    <x v="40"/>
    <x v="40"/>
    <x v="32"/>
    <x v="32"/>
    <x v="32"/>
    <x v="14"/>
    <x v="129"/>
    <x v="112"/>
    <x v="81"/>
    <x v="176"/>
    <x v="55"/>
    <x v="434"/>
    <x v="8"/>
  </r>
  <r>
    <x v="0"/>
    <x v="40"/>
    <x v="40"/>
    <x v="12"/>
    <x v="12"/>
    <x v="12"/>
    <x v="15"/>
    <x v="119"/>
    <x v="113"/>
    <x v="115"/>
    <x v="499"/>
    <x v="80"/>
    <x v="272"/>
    <x v="8"/>
  </r>
  <r>
    <x v="0"/>
    <x v="40"/>
    <x v="40"/>
    <x v="4"/>
    <x v="4"/>
    <x v="4"/>
    <x v="16"/>
    <x v="159"/>
    <x v="144"/>
    <x v="49"/>
    <x v="496"/>
    <x v="56"/>
    <x v="198"/>
    <x v="8"/>
  </r>
  <r>
    <x v="0"/>
    <x v="40"/>
    <x v="40"/>
    <x v="15"/>
    <x v="15"/>
    <x v="15"/>
    <x v="17"/>
    <x v="195"/>
    <x v="353"/>
    <x v="54"/>
    <x v="487"/>
    <x v="73"/>
    <x v="454"/>
    <x v="8"/>
  </r>
  <r>
    <x v="0"/>
    <x v="40"/>
    <x v="40"/>
    <x v="19"/>
    <x v="19"/>
    <x v="19"/>
    <x v="17"/>
    <x v="195"/>
    <x v="353"/>
    <x v="56"/>
    <x v="55"/>
    <x v="105"/>
    <x v="455"/>
    <x v="8"/>
  </r>
  <r>
    <x v="0"/>
    <x v="40"/>
    <x v="40"/>
    <x v="17"/>
    <x v="17"/>
    <x v="17"/>
    <x v="19"/>
    <x v="304"/>
    <x v="129"/>
    <x v="109"/>
    <x v="311"/>
    <x v="84"/>
    <x v="118"/>
    <x v="8"/>
  </r>
  <r>
    <x v="0"/>
    <x v="41"/>
    <x v="41"/>
    <x v="0"/>
    <x v="0"/>
    <x v="0"/>
    <x v="0"/>
    <x v="288"/>
    <x v="246"/>
    <x v="263"/>
    <x v="500"/>
    <x v="54"/>
    <x v="7"/>
    <x v="8"/>
  </r>
  <r>
    <x v="0"/>
    <x v="41"/>
    <x v="41"/>
    <x v="2"/>
    <x v="2"/>
    <x v="2"/>
    <x v="1"/>
    <x v="352"/>
    <x v="356"/>
    <x v="31"/>
    <x v="501"/>
    <x v="53"/>
    <x v="424"/>
    <x v="8"/>
  </r>
  <r>
    <x v="0"/>
    <x v="41"/>
    <x v="41"/>
    <x v="1"/>
    <x v="1"/>
    <x v="1"/>
    <x v="2"/>
    <x v="256"/>
    <x v="453"/>
    <x v="264"/>
    <x v="399"/>
    <x v="258"/>
    <x v="456"/>
    <x v="8"/>
  </r>
  <r>
    <x v="0"/>
    <x v="41"/>
    <x v="41"/>
    <x v="3"/>
    <x v="3"/>
    <x v="3"/>
    <x v="3"/>
    <x v="353"/>
    <x v="134"/>
    <x v="265"/>
    <x v="502"/>
    <x v="40"/>
    <x v="28"/>
    <x v="8"/>
  </r>
  <r>
    <x v="0"/>
    <x v="41"/>
    <x v="41"/>
    <x v="5"/>
    <x v="5"/>
    <x v="5"/>
    <x v="4"/>
    <x v="171"/>
    <x v="454"/>
    <x v="51"/>
    <x v="333"/>
    <x v="144"/>
    <x v="457"/>
    <x v="8"/>
  </r>
  <r>
    <x v="0"/>
    <x v="41"/>
    <x v="41"/>
    <x v="10"/>
    <x v="10"/>
    <x v="10"/>
    <x v="5"/>
    <x v="354"/>
    <x v="409"/>
    <x v="138"/>
    <x v="503"/>
    <x v="174"/>
    <x v="458"/>
    <x v="8"/>
  </r>
  <r>
    <x v="0"/>
    <x v="41"/>
    <x v="41"/>
    <x v="9"/>
    <x v="9"/>
    <x v="9"/>
    <x v="6"/>
    <x v="101"/>
    <x v="455"/>
    <x v="134"/>
    <x v="504"/>
    <x v="224"/>
    <x v="459"/>
    <x v="8"/>
  </r>
  <r>
    <x v="0"/>
    <x v="41"/>
    <x v="41"/>
    <x v="7"/>
    <x v="7"/>
    <x v="7"/>
    <x v="7"/>
    <x v="355"/>
    <x v="456"/>
    <x v="114"/>
    <x v="388"/>
    <x v="61"/>
    <x v="258"/>
    <x v="8"/>
  </r>
  <r>
    <x v="0"/>
    <x v="41"/>
    <x v="41"/>
    <x v="6"/>
    <x v="6"/>
    <x v="6"/>
    <x v="8"/>
    <x v="104"/>
    <x v="315"/>
    <x v="159"/>
    <x v="505"/>
    <x v="56"/>
    <x v="104"/>
    <x v="8"/>
  </r>
  <r>
    <x v="0"/>
    <x v="41"/>
    <x v="41"/>
    <x v="11"/>
    <x v="11"/>
    <x v="11"/>
    <x v="9"/>
    <x v="191"/>
    <x v="92"/>
    <x v="91"/>
    <x v="206"/>
    <x v="58"/>
    <x v="460"/>
    <x v="8"/>
  </r>
  <r>
    <x v="0"/>
    <x v="41"/>
    <x v="41"/>
    <x v="13"/>
    <x v="13"/>
    <x v="13"/>
    <x v="10"/>
    <x v="168"/>
    <x v="457"/>
    <x v="116"/>
    <x v="13"/>
    <x v="103"/>
    <x v="52"/>
    <x v="8"/>
  </r>
  <r>
    <x v="0"/>
    <x v="41"/>
    <x v="41"/>
    <x v="8"/>
    <x v="8"/>
    <x v="8"/>
    <x v="11"/>
    <x v="154"/>
    <x v="64"/>
    <x v="149"/>
    <x v="506"/>
    <x v="73"/>
    <x v="272"/>
    <x v="6"/>
  </r>
  <r>
    <x v="0"/>
    <x v="41"/>
    <x v="41"/>
    <x v="29"/>
    <x v="29"/>
    <x v="29"/>
    <x v="12"/>
    <x v="125"/>
    <x v="49"/>
    <x v="127"/>
    <x v="507"/>
    <x v="113"/>
    <x v="43"/>
    <x v="8"/>
  </r>
  <r>
    <x v="0"/>
    <x v="41"/>
    <x v="41"/>
    <x v="23"/>
    <x v="23"/>
    <x v="23"/>
    <x v="13"/>
    <x v="155"/>
    <x v="322"/>
    <x v="126"/>
    <x v="508"/>
    <x v="109"/>
    <x v="461"/>
    <x v="8"/>
  </r>
  <r>
    <x v="0"/>
    <x v="41"/>
    <x v="41"/>
    <x v="12"/>
    <x v="12"/>
    <x v="12"/>
    <x v="14"/>
    <x v="200"/>
    <x v="436"/>
    <x v="147"/>
    <x v="509"/>
    <x v="103"/>
    <x v="52"/>
    <x v="8"/>
  </r>
  <r>
    <x v="0"/>
    <x v="41"/>
    <x v="41"/>
    <x v="4"/>
    <x v="4"/>
    <x v="4"/>
    <x v="15"/>
    <x v="77"/>
    <x v="67"/>
    <x v="122"/>
    <x v="510"/>
    <x v="54"/>
    <x v="7"/>
    <x v="8"/>
  </r>
  <r>
    <x v="0"/>
    <x v="41"/>
    <x v="41"/>
    <x v="22"/>
    <x v="22"/>
    <x v="22"/>
    <x v="16"/>
    <x v="176"/>
    <x v="36"/>
    <x v="57"/>
    <x v="477"/>
    <x v="123"/>
    <x v="291"/>
    <x v="8"/>
  </r>
  <r>
    <x v="0"/>
    <x v="41"/>
    <x v="41"/>
    <x v="14"/>
    <x v="14"/>
    <x v="14"/>
    <x v="17"/>
    <x v="193"/>
    <x v="414"/>
    <x v="65"/>
    <x v="37"/>
    <x v="136"/>
    <x v="334"/>
    <x v="8"/>
  </r>
  <r>
    <x v="0"/>
    <x v="41"/>
    <x v="41"/>
    <x v="16"/>
    <x v="16"/>
    <x v="16"/>
    <x v="18"/>
    <x v="80"/>
    <x v="53"/>
    <x v="50"/>
    <x v="132"/>
    <x v="52"/>
    <x v="67"/>
    <x v="8"/>
  </r>
  <r>
    <x v="0"/>
    <x v="41"/>
    <x v="41"/>
    <x v="15"/>
    <x v="15"/>
    <x v="15"/>
    <x v="19"/>
    <x v="71"/>
    <x v="145"/>
    <x v="77"/>
    <x v="53"/>
    <x v="45"/>
    <x v="34"/>
    <x v="8"/>
  </r>
  <r>
    <x v="0"/>
    <x v="42"/>
    <x v="42"/>
    <x v="2"/>
    <x v="2"/>
    <x v="2"/>
    <x v="0"/>
    <x v="356"/>
    <x v="458"/>
    <x v="266"/>
    <x v="511"/>
    <x v="253"/>
    <x v="30"/>
    <x v="8"/>
  </r>
  <r>
    <x v="0"/>
    <x v="42"/>
    <x v="42"/>
    <x v="0"/>
    <x v="0"/>
    <x v="0"/>
    <x v="1"/>
    <x v="357"/>
    <x v="459"/>
    <x v="267"/>
    <x v="512"/>
    <x v="146"/>
    <x v="12"/>
    <x v="8"/>
  </r>
  <r>
    <x v="0"/>
    <x v="42"/>
    <x v="42"/>
    <x v="1"/>
    <x v="1"/>
    <x v="1"/>
    <x v="2"/>
    <x v="358"/>
    <x v="300"/>
    <x v="125"/>
    <x v="357"/>
    <x v="259"/>
    <x v="462"/>
    <x v="8"/>
  </r>
  <r>
    <x v="0"/>
    <x v="42"/>
    <x v="42"/>
    <x v="5"/>
    <x v="5"/>
    <x v="5"/>
    <x v="3"/>
    <x v="359"/>
    <x v="460"/>
    <x v="126"/>
    <x v="60"/>
    <x v="260"/>
    <x v="463"/>
    <x v="8"/>
  </r>
  <r>
    <x v="0"/>
    <x v="42"/>
    <x v="42"/>
    <x v="3"/>
    <x v="3"/>
    <x v="3"/>
    <x v="4"/>
    <x v="360"/>
    <x v="461"/>
    <x v="268"/>
    <x v="513"/>
    <x v="209"/>
    <x v="464"/>
    <x v="8"/>
  </r>
  <r>
    <x v="0"/>
    <x v="42"/>
    <x v="42"/>
    <x v="6"/>
    <x v="6"/>
    <x v="6"/>
    <x v="5"/>
    <x v="347"/>
    <x v="462"/>
    <x v="106"/>
    <x v="514"/>
    <x v="79"/>
    <x v="465"/>
    <x v="8"/>
  </r>
  <r>
    <x v="0"/>
    <x v="42"/>
    <x v="42"/>
    <x v="8"/>
    <x v="8"/>
    <x v="8"/>
    <x v="6"/>
    <x v="314"/>
    <x v="463"/>
    <x v="141"/>
    <x v="515"/>
    <x v="128"/>
    <x v="134"/>
    <x v="5"/>
  </r>
  <r>
    <x v="0"/>
    <x v="42"/>
    <x v="42"/>
    <x v="7"/>
    <x v="7"/>
    <x v="7"/>
    <x v="7"/>
    <x v="361"/>
    <x v="456"/>
    <x v="269"/>
    <x v="516"/>
    <x v="52"/>
    <x v="466"/>
    <x v="8"/>
  </r>
  <r>
    <x v="0"/>
    <x v="42"/>
    <x v="42"/>
    <x v="4"/>
    <x v="4"/>
    <x v="4"/>
    <x v="7"/>
    <x v="361"/>
    <x v="456"/>
    <x v="220"/>
    <x v="517"/>
    <x v="110"/>
    <x v="467"/>
    <x v="8"/>
  </r>
  <r>
    <x v="0"/>
    <x v="42"/>
    <x v="42"/>
    <x v="9"/>
    <x v="9"/>
    <x v="9"/>
    <x v="9"/>
    <x v="362"/>
    <x v="464"/>
    <x v="79"/>
    <x v="48"/>
    <x v="97"/>
    <x v="5"/>
    <x v="8"/>
  </r>
  <r>
    <x v="0"/>
    <x v="42"/>
    <x v="42"/>
    <x v="10"/>
    <x v="10"/>
    <x v="10"/>
    <x v="10"/>
    <x v="204"/>
    <x v="378"/>
    <x v="122"/>
    <x v="262"/>
    <x v="167"/>
    <x v="468"/>
    <x v="8"/>
  </r>
  <r>
    <x v="0"/>
    <x v="42"/>
    <x v="42"/>
    <x v="13"/>
    <x v="13"/>
    <x v="13"/>
    <x v="11"/>
    <x v="171"/>
    <x v="107"/>
    <x v="270"/>
    <x v="379"/>
    <x v="43"/>
    <x v="198"/>
    <x v="8"/>
  </r>
  <r>
    <x v="0"/>
    <x v="42"/>
    <x v="42"/>
    <x v="12"/>
    <x v="12"/>
    <x v="12"/>
    <x v="12"/>
    <x v="104"/>
    <x v="29"/>
    <x v="271"/>
    <x v="518"/>
    <x v="122"/>
    <x v="207"/>
    <x v="5"/>
  </r>
  <r>
    <x v="0"/>
    <x v="42"/>
    <x v="42"/>
    <x v="14"/>
    <x v="14"/>
    <x v="14"/>
    <x v="13"/>
    <x v="302"/>
    <x v="287"/>
    <x v="120"/>
    <x v="194"/>
    <x v="117"/>
    <x v="99"/>
    <x v="5"/>
  </r>
  <r>
    <x v="0"/>
    <x v="42"/>
    <x v="42"/>
    <x v="17"/>
    <x v="17"/>
    <x v="17"/>
    <x v="14"/>
    <x v="191"/>
    <x v="110"/>
    <x v="208"/>
    <x v="519"/>
    <x v="169"/>
    <x v="26"/>
    <x v="5"/>
  </r>
  <r>
    <x v="0"/>
    <x v="42"/>
    <x v="42"/>
    <x v="19"/>
    <x v="19"/>
    <x v="19"/>
    <x v="15"/>
    <x v="106"/>
    <x v="341"/>
    <x v="82"/>
    <x v="423"/>
    <x v="158"/>
    <x v="469"/>
    <x v="5"/>
  </r>
  <r>
    <x v="0"/>
    <x v="42"/>
    <x v="42"/>
    <x v="32"/>
    <x v="32"/>
    <x v="32"/>
    <x v="16"/>
    <x v="176"/>
    <x v="173"/>
    <x v="200"/>
    <x v="17"/>
    <x v="48"/>
    <x v="193"/>
    <x v="8"/>
  </r>
  <r>
    <x v="0"/>
    <x v="42"/>
    <x v="42"/>
    <x v="16"/>
    <x v="16"/>
    <x v="16"/>
    <x v="17"/>
    <x v="114"/>
    <x v="371"/>
    <x v="70"/>
    <x v="160"/>
    <x v="107"/>
    <x v="49"/>
    <x v="8"/>
  </r>
  <r>
    <x v="0"/>
    <x v="42"/>
    <x v="42"/>
    <x v="18"/>
    <x v="18"/>
    <x v="18"/>
    <x v="18"/>
    <x v="158"/>
    <x v="362"/>
    <x v="75"/>
    <x v="158"/>
    <x v="94"/>
    <x v="146"/>
    <x v="8"/>
  </r>
  <r>
    <x v="0"/>
    <x v="42"/>
    <x v="42"/>
    <x v="15"/>
    <x v="15"/>
    <x v="15"/>
    <x v="19"/>
    <x v="193"/>
    <x v="147"/>
    <x v="49"/>
    <x v="520"/>
    <x v="123"/>
    <x v="120"/>
    <x v="8"/>
  </r>
  <r>
    <x v="0"/>
    <x v="42"/>
    <x v="42"/>
    <x v="20"/>
    <x v="20"/>
    <x v="20"/>
    <x v="19"/>
    <x v="193"/>
    <x v="147"/>
    <x v="70"/>
    <x v="160"/>
    <x v="43"/>
    <x v="198"/>
    <x v="9"/>
  </r>
  <r>
    <x v="0"/>
    <x v="43"/>
    <x v="43"/>
    <x v="1"/>
    <x v="1"/>
    <x v="1"/>
    <x v="0"/>
    <x v="363"/>
    <x v="465"/>
    <x v="272"/>
    <x v="521"/>
    <x v="261"/>
    <x v="470"/>
    <x v="9"/>
  </r>
  <r>
    <x v="0"/>
    <x v="43"/>
    <x v="43"/>
    <x v="0"/>
    <x v="0"/>
    <x v="0"/>
    <x v="1"/>
    <x v="364"/>
    <x v="466"/>
    <x v="273"/>
    <x v="522"/>
    <x v="120"/>
    <x v="332"/>
    <x v="8"/>
  </r>
  <r>
    <x v="0"/>
    <x v="43"/>
    <x v="43"/>
    <x v="2"/>
    <x v="2"/>
    <x v="2"/>
    <x v="2"/>
    <x v="365"/>
    <x v="87"/>
    <x v="274"/>
    <x v="523"/>
    <x v="134"/>
    <x v="191"/>
    <x v="8"/>
  </r>
  <r>
    <x v="0"/>
    <x v="43"/>
    <x v="43"/>
    <x v="5"/>
    <x v="5"/>
    <x v="5"/>
    <x v="3"/>
    <x v="366"/>
    <x v="227"/>
    <x v="103"/>
    <x v="127"/>
    <x v="262"/>
    <x v="471"/>
    <x v="8"/>
  </r>
  <r>
    <x v="0"/>
    <x v="43"/>
    <x v="43"/>
    <x v="8"/>
    <x v="8"/>
    <x v="8"/>
    <x v="4"/>
    <x v="367"/>
    <x v="467"/>
    <x v="268"/>
    <x v="378"/>
    <x v="49"/>
    <x v="355"/>
    <x v="8"/>
  </r>
  <r>
    <x v="0"/>
    <x v="43"/>
    <x v="43"/>
    <x v="3"/>
    <x v="3"/>
    <x v="3"/>
    <x v="5"/>
    <x v="221"/>
    <x v="177"/>
    <x v="159"/>
    <x v="524"/>
    <x v="140"/>
    <x v="31"/>
    <x v="8"/>
  </r>
  <r>
    <x v="0"/>
    <x v="43"/>
    <x v="43"/>
    <x v="6"/>
    <x v="6"/>
    <x v="6"/>
    <x v="6"/>
    <x v="368"/>
    <x v="262"/>
    <x v="275"/>
    <x v="525"/>
    <x v="78"/>
    <x v="104"/>
    <x v="8"/>
  </r>
  <r>
    <x v="0"/>
    <x v="43"/>
    <x v="43"/>
    <x v="7"/>
    <x v="7"/>
    <x v="7"/>
    <x v="7"/>
    <x v="63"/>
    <x v="338"/>
    <x v="167"/>
    <x v="526"/>
    <x v="62"/>
    <x v="19"/>
    <x v="8"/>
  </r>
  <r>
    <x v="0"/>
    <x v="43"/>
    <x v="43"/>
    <x v="10"/>
    <x v="10"/>
    <x v="10"/>
    <x v="8"/>
    <x v="110"/>
    <x v="468"/>
    <x v="102"/>
    <x v="153"/>
    <x v="235"/>
    <x v="472"/>
    <x v="8"/>
  </r>
  <r>
    <x v="0"/>
    <x v="43"/>
    <x v="43"/>
    <x v="13"/>
    <x v="13"/>
    <x v="13"/>
    <x v="9"/>
    <x v="103"/>
    <x v="295"/>
    <x v="119"/>
    <x v="47"/>
    <x v="120"/>
    <x v="332"/>
    <x v="8"/>
  </r>
  <r>
    <x v="0"/>
    <x v="43"/>
    <x v="43"/>
    <x v="4"/>
    <x v="4"/>
    <x v="4"/>
    <x v="10"/>
    <x v="166"/>
    <x v="469"/>
    <x v="98"/>
    <x v="113"/>
    <x v="43"/>
    <x v="249"/>
    <x v="8"/>
  </r>
  <r>
    <x v="0"/>
    <x v="43"/>
    <x v="43"/>
    <x v="9"/>
    <x v="9"/>
    <x v="9"/>
    <x v="11"/>
    <x v="104"/>
    <x v="470"/>
    <x v="81"/>
    <x v="146"/>
    <x v="223"/>
    <x v="330"/>
    <x v="8"/>
  </r>
  <r>
    <x v="0"/>
    <x v="43"/>
    <x v="43"/>
    <x v="14"/>
    <x v="14"/>
    <x v="14"/>
    <x v="12"/>
    <x v="149"/>
    <x v="67"/>
    <x v="49"/>
    <x v="180"/>
    <x v="104"/>
    <x v="81"/>
    <x v="8"/>
  </r>
  <r>
    <x v="0"/>
    <x v="43"/>
    <x v="43"/>
    <x v="12"/>
    <x v="12"/>
    <x v="12"/>
    <x v="13"/>
    <x v="142"/>
    <x v="296"/>
    <x v="136"/>
    <x v="527"/>
    <x v="135"/>
    <x v="108"/>
    <x v="8"/>
  </r>
  <r>
    <x v="0"/>
    <x v="43"/>
    <x v="43"/>
    <x v="19"/>
    <x v="19"/>
    <x v="19"/>
    <x v="14"/>
    <x v="155"/>
    <x v="388"/>
    <x v="105"/>
    <x v="86"/>
    <x v="168"/>
    <x v="194"/>
    <x v="9"/>
  </r>
  <r>
    <x v="0"/>
    <x v="43"/>
    <x v="43"/>
    <x v="17"/>
    <x v="17"/>
    <x v="17"/>
    <x v="15"/>
    <x v="200"/>
    <x v="52"/>
    <x v="103"/>
    <x v="127"/>
    <x v="136"/>
    <x v="473"/>
    <x v="8"/>
  </r>
  <r>
    <x v="0"/>
    <x v="43"/>
    <x v="43"/>
    <x v="16"/>
    <x v="16"/>
    <x v="16"/>
    <x v="16"/>
    <x v="68"/>
    <x v="288"/>
    <x v="67"/>
    <x v="351"/>
    <x v="58"/>
    <x v="43"/>
    <x v="8"/>
  </r>
  <r>
    <x v="0"/>
    <x v="43"/>
    <x v="43"/>
    <x v="15"/>
    <x v="15"/>
    <x v="15"/>
    <x v="17"/>
    <x v="49"/>
    <x v="172"/>
    <x v="54"/>
    <x v="303"/>
    <x v="107"/>
    <x v="18"/>
    <x v="8"/>
  </r>
  <r>
    <x v="0"/>
    <x v="43"/>
    <x v="43"/>
    <x v="24"/>
    <x v="24"/>
    <x v="24"/>
    <x v="18"/>
    <x v="209"/>
    <x v="173"/>
    <x v="52"/>
    <x v="343"/>
    <x v="49"/>
    <x v="355"/>
    <x v="8"/>
  </r>
  <r>
    <x v="0"/>
    <x v="43"/>
    <x v="43"/>
    <x v="20"/>
    <x v="20"/>
    <x v="20"/>
    <x v="18"/>
    <x v="209"/>
    <x v="173"/>
    <x v="70"/>
    <x v="528"/>
    <x v="112"/>
    <x v="434"/>
    <x v="8"/>
  </r>
  <r>
    <x v="0"/>
    <x v="44"/>
    <x v="44"/>
    <x v="1"/>
    <x v="1"/>
    <x v="1"/>
    <x v="0"/>
    <x v="369"/>
    <x v="471"/>
    <x v="145"/>
    <x v="275"/>
    <x v="263"/>
    <x v="474"/>
    <x v="8"/>
  </r>
  <r>
    <x v="0"/>
    <x v="44"/>
    <x v="44"/>
    <x v="0"/>
    <x v="0"/>
    <x v="0"/>
    <x v="1"/>
    <x v="370"/>
    <x v="176"/>
    <x v="276"/>
    <x v="529"/>
    <x v="61"/>
    <x v="6"/>
    <x v="8"/>
  </r>
  <r>
    <x v="0"/>
    <x v="44"/>
    <x v="44"/>
    <x v="11"/>
    <x v="11"/>
    <x v="11"/>
    <x v="2"/>
    <x v="371"/>
    <x v="472"/>
    <x v="277"/>
    <x v="530"/>
    <x v="264"/>
    <x v="475"/>
    <x v="8"/>
  </r>
  <r>
    <x v="0"/>
    <x v="44"/>
    <x v="44"/>
    <x v="2"/>
    <x v="2"/>
    <x v="2"/>
    <x v="3"/>
    <x v="372"/>
    <x v="473"/>
    <x v="278"/>
    <x v="531"/>
    <x v="169"/>
    <x v="476"/>
    <x v="8"/>
  </r>
  <r>
    <x v="0"/>
    <x v="44"/>
    <x v="44"/>
    <x v="3"/>
    <x v="3"/>
    <x v="3"/>
    <x v="4"/>
    <x v="373"/>
    <x v="122"/>
    <x v="279"/>
    <x v="532"/>
    <x v="96"/>
    <x v="16"/>
    <x v="9"/>
  </r>
  <r>
    <x v="0"/>
    <x v="44"/>
    <x v="44"/>
    <x v="5"/>
    <x v="5"/>
    <x v="5"/>
    <x v="5"/>
    <x v="162"/>
    <x v="474"/>
    <x v="130"/>
    <x v="130"/>
    <x v="265"/>
    <x v="477"/>
    <x v="8"/>
  </r>
  <r>
    <x v="0"/>
    <x v="44"/>
    <x v="44"/>
    <x v="29"/>
    <x v="29"/>
    <x v="29"/>
    <x v="6"/>
    <x v="374"/>
    <x v="238"/>
    <x v="231"/>
    <x v="278"/>
    <x v="252"/>
    <x v="342"/>
    <x v="8"/>
  </r>
  <r>
    <x v="0"/>
    <x v="44"/>
    <x v="44"/>
    <x v="6"/>
    <x v="6"/>
    <x v="6"/>
    <x v="7"/>
    <x v="277"/>
    <x v="196"/>
    <x v="280"/>
    <x v="295"/>
    <x v="61"/>
    <x v="6"/>
    <x v="8"/>
  </r>
  <r>
    <x v="0"/>
    <x v="44"/>
    <x v="44"/>
    <x v="7"/>
    <x v="7"/>
    <x v="7"/>
    <x v="8"/>
    <x v="375"/>
    <x v="61"/>
    <x v="281"/>
    <x v="533"/>
    <x v="113"/>
    <x v="478"/>
    <x v="9"/>
  </r>
  <r>
    <x v="0"/>
    <x v="44"/>
    <x v="44"/>
    <x v="34"/>
    <x v="34"/>
    <x v="34"/>
    <x v="9"/>
    <x v="246"/>
    <x v="427"/>
    <x v="130"/>
    <x v="130"/>
    <x v="266"/>
    <x v="72"/>
    <x v="8"/>
  </r>
  <r>
    <x v="0"/>
    <x v="44"/>
    <x v="44"/>
    <x v="8"/>
    <x v="8"/>
    <x v="8"/>
    <x v="10"/>
    <x v="376"/>
    <x v="295"/>
    <x v="38"/>
    <x v="534"/>
    <x v="129"/>
    <x v="479"/>
    <x v="8"/>
  </r>
  <r>
    <x v="0"/>
    <x v="44"/>
    <x v="44"/>
    <x v="10"/>
    <x v="10"/>
    <x v="10"/>
    <x v="11"/>
    <x v="377"/>
    <x v="470"/>
    <x v="86"/>
    <x v="535"/>
    <x v="235"/>
    <x v="469"/>
    <x v="8"/>
  </r>
  <r>
    <x v="0"/>
    <x v="44"/>
    <x v="44"/>
    <x v="9"/>
    <x v="9"/>
    <x v="9"/>
    <x v="12"/>
    <x v="100"/>
    <x v="198"/>
    <x v="147"/>
    <x v="536"/>
    <x v="235"/>
    <x v="469"/>
    <x v="8"/>
  </r>
  <r>
    <x v="0"/>
    <x v="44"/>
    <x v="44"/>
    <x v="43"/>
    <x v="43"/>
    <x v="43"/>
    <x v="13"/>
    <x v="298"/>
    <x v="475"/>
    <x v="98"/>
    <x v="71"/>
    <x v="68"/>
    <x v="248"/>
    <x v="8"/>
  </r>
  <r>
    <x v="0"/>
    <x v="44"/>
    <x v="44"/>
    <x v="13"/>
    <x v="13"/>
    <x v="13"/>
    <x v="14"/>
    <x v="312"/>
    <x v="211"/>
    <x v="236"/>
    <x v="233"/>
    <x v="137"/>
    <x v="480"/>
    <x v="8"/>
  </r>
  <r>
    <x v="0"/>
    <x v="44"/>
    <x v="44"/>
    <x v="18"/>
    <x v="18"/>
    <x v="18"/>
    <x v="15"/>
    <x v="184"/>
    <x v="37"/>
    <x v="58"/>
    <x v="180"/>
    <x v="125"/>
    <x v="26"/>
    <x v="8"/>
  </r>
  <r>
    <x v="0"/>
    <x v="44"/>
    <x v="44"/>
    <x v="28"/>
    <x v="28"/>
    <x v="28"/>
    <x v="16"/>
    <x v="324"/>
    <x v="476"/>
    <x v="101"/>
    <x v="262"/>
    <x v="42"/>
    <x v="403"/>
    <x v="8"/>
  </r>
  <r>
    <x v="0"/>
    <x v="44"/>
    <x v="44"/>
    <x v="12"/>
    <x v="12"/>
    <x v="12"/>
    <x v="17"/>
    <x v="175"/>
    <x v="171"/>
    <x v="149"/>
    <x v="537"/>
    <x v="135"/>
    <x v="304"/>
    <x v="8"/>
  </r>
  <r>
    <x v="0"/>
    <x v="44"/>
    <x v="44"/>
    <x v="4"/>
    <x v="4"/>
    <x v="4"/>
    <x v="18"/>
    <x v="148"/>
    <x v="477"/>
    <x v="98"/>
    <x v="71"/>
    <x v="109"/>
    <x v="481"/>
    <x v="8"/>
  </r>
  <r>
    <x v="0"/>
    <x v="44"/>
    <x v="44"/>
    <x v="36"/>
    <x v="36"/>
    <x v="36"/>
    <x v="19"/>
    <x v="149"/>
    <x v="187"/>
    <x v="122"/>
    <x v="79"/>
    <x v="63"/>
    <x v="354"/>
    <x v="8"/>
  </r>
  <r>
    <x v="0"/>
    <x v="45"/>
    <x v="45"/>
    <x v="0"/>
    <x v="0"/>
    <x v="0"/>
    <x v="0"/>
    <x v="378"/>
    <x v="55"/>
    <x v="282"/>
    <x v="538"/>
    <x v="139"/>
    <x v="300"/>
    <x v="8"/>
  </r>
  <r>
    <x v="0"/>
    <x v="45"/>
    <x v="45"/>
    <x v="2"/>
    <x v="2"/>
    <x v="2"/>
    <x v="1"/>
    <x v="379"/>
    <x v="478"/>
    <x v="283"/>
    <x v="539"/>
    <x v="66"/>
    <x v="482"/>
    <x v="8"/>
  </r>
  <r>
    <x v="0"/>
    <x v="45"/>
    <x v="45"/>
    <x v="1"/>
    <x v="1"/>
    <x v="1"/>
    <x v="2"/>
    <x v="152"/>
    <x v="479"/>
    <x v="19"/>
    <x v="540"/>
    <x v="235"/>
    <x v="483"/>
    <x v="5"/>
  </r>
  <r>
    <x v="0"/>
    <x v="45"/>
    <x v="45"/>
    <x v="23"/>
    <x v="23"/>
    <x v="23"/>
    <x v="3"/>
    <x v="354"/>
    <x v="480"/>
    <x v="132"/>
    <x v="541"/>
    <x v="170"/>
    <x v="484"/>
    <x v="8"/>
  </r>
  <r>
    <x v="0"/>
    <x v="45"/>
    <x v="45"/>
    <x v="3"/>
    <x v="3"/>
    <x v="3"/>
    <x v="4"/>
    <x v="240"/>
    <x v="481"/>
    <x v="44"/>
    <x v="472"/>
    <x v="170"/>
    <x v="484"/>
    <x v="8"/>
  </r>
  <r>
    <x v="0"/>
    <x v="45"/>
    <x v="45"/>
    <x v="5"/>
    <x v="5"/>
    <x v="5"/>
    <x v="5"/>
    <x v="147"/>
    <x v="482"/>
    <x v="55"/>
    <x v="48"/>
    <x v="158"/>
    <x v="485"/>
    <x v="8"/>
  </r>
  <r>
    <x v="0"/>
    <x v="45"/>
    <x v="45"/>
    <x v="7"/>
    <x v="7"/>
    <x v="7"/>
    <x v="6"/>
    <x v="44"/>
    <x v="483"/>
    <x v="97"/>
    <x v="542"/>
    <x v="75"/>
    <x v="150"/>
    <x v="8"/>
  </r>
  <r>
    <x v="0"/>
    <x v="45"/>
    <x v="45"/>
    <x v="12"/>
    <x v="12"/>
    <x v="12"/>
    <x v="7"/>
    <x v="76"/>
    <x v="179"/>
    <x v="79"/>
    <x v="313"/>
    <x v="65"/>
    <x v="486"/>
    <x v="8"/>
  </r>
  <r>
    <x v="0"/>
    <x v="45"/>
    <x v="45"/>
    <x v="6"/>
    <x v="6"/>
    <x v="6"/>
    <x v="8"/>
    <x v="124"/>
    <x v="350"/>
    <x v="64"/>
    <x v="505"/>
    <x v="81"/>
    <x v="487"/>
    <x v="8"/>
  </r>
  <r>
    <x v="0"/>
    <x v="45"/>
    <x v="45"/>
    <x v="8"/>
    <x v="8"/>
    <x v="8"/>
    <x v="9"/>
    <x v="219"/>
    <x v="368"/>
    <x v="47"/>
    <x v="543"/>
    <x v="109"/>
    <x v="17"/>
    <x v="8"/>
  </r>
  <r>
    <x v="0"/>
    <x v="45"/>
    <x v="45"/>
    <x v="9"/>
    <x v="9"/>
    <x v="9"/>
    <x v="10"/>
    <x v="77"/>
    <x v="221"/>
    <x v="198"/>
    <x v="331"/>
    <x v="52"/>
    <x v="268"/>
    <x v="8"/>
  </r>
  <r>
    <x v="0"/>
    <x v="45"/>
    <x v="45"/>
    <x v="13"/>
    <x v="13"/>
    <x v="13"/>
    <x v="10"/>
    <x v="77"/>
    <x v="221"/>
    <x v="63"/>
    <x v="544"/>
    <x v="56"/>
    <x v="69"/>
    <x v="8"/>
  </r>
  <r>
    <x v="0"/>
    <x v="45"/>
    <x v="45"/>
    <x v="4"/>
    <x v="4"/>
    <x v="4"/>
    <x v="12"/>
    <x v="51"/>
    <x v="274"/>
    <x v="74"/>
    <x v="545"/>
    <x v="142"/>
    <x v="363"/>
    <x v="8"/>
  </r>
  <r>
    <x v="0"/>
    <x v="45"/>
    <x v="45"/>
    <x v="10"/>
    <x v="10"/>
    <x v="10"/>
    <x v="13"/>
    <x v="52"/>
    <x v="31"/>
    <x v="51"/>
    <x v="60"/>
    <x v="71"/>
    <x v="291"/>
    <x v="8"/>
  </r>
  <r>
    <x v="0"/>
    <x v="45"/>
    <x v="45"/>
    <x v="32"/>
    <x v="32"/>
    <x v="32"/>
    <x v="14"/>
    <x v="72"/>
    <x v="36"/>
    <x v="53"/>
    <x v="546"/>
    <x v="54"/>
    <x v="252"/>
    <x v="8"/>
  </r>
  <r>
    <x v="0"/>
    <x v="45"/>
    <x v="45"/>
    <x v="19"/>
    <x v="19"/>
    <x v="19"/>
    <x v="15"/>
    <x v="116"/>
    <x v="211"/>
    <x v="56"/>
    <x v="55"/>
    <x v="52"/>
    <x v="268"/>
    <x v="8"/>
  </r>
  <r>
    <x v="0"/>
    <x v="45"/>
    <x v="45"/>
    <x v="18"/>
    <x v="18"/>
    <x v="18"/>
    <x v="16"/>
    <x v="82"/>
    <x v="115"/>
    <x v="81"/>
    <x v="54"/>
    <x v="115"/>
    <x v="196"/>
    <x v="8"/>
  </r>
  <r>
    <x v="0"/>
    <x v="45"/>
    <x v="45"/>
    <x v="11"/>
    <x v="11"/>
    <x v="11"/>
    <x v="17"/>
    <x v="59"/>
    <x v="70"/>
    <x v="49"/>
    <x v="225"/>
    <x v="78"/>
    <x v="22"/>
    <x v="8"/>
  </r>
  <r>
    <x v="0"/>
    <x v="45"/>
    <x v="45"/>
    <x v="14"/>
    <x v="14"/>
    <x v="14"/>
    <x v="17"/>
    <x v="59"/>
    <x v="70"/>
    <x v="50"/>
    <x v="324"/>
    <x v="129"/>
    <x v="313"/>
    <x v="8"/>
  </r>
  <r>
    <x v="0"/>
    <x v="45"/>
    <x v="45"/>
    <x v="15"/>
    <x v="15"/>
    <x v="15"/>
    <x v="19"/>
    <x v="119"/>
    <x v="223"/>
    <x v="52"/>
    <x v="547"/>
    <x v="139"/>
    <x v="300"/>
    <x v="8"/>
  </r>
  <r>
    <x v="0"/>
    <x v="45"/>
    <x v="45"/>
    <x v="31"/>
    <x v="31"/>
    <x v="31"/>
    <x v="19"/>
    <x v="119"/>
    <x v="223"/>
    <x v="138"/>
    <x v="438"/>
    <x v="228"/>
    <x v="488"/>
    <x v="8"/>
  </r>
  <r>
    <x v="0"/>
    <x v="46"/>
    <x v="46"/>
    <x v="1"/>
    <x v="1"/>
    <x v="1"/>
    <x v="0"/>
    <x v="273"/>
    <x v="484"/>
    <x v="280"/>
    <x v="548"/>
    <x v="99"/>
    <x v="489"/>
    <x v="5"/>
  </r>
  <r>
    <x v="0"/>
    <x v="46"/>
    <x v="46"/>
    <x v="2"/>
    <x v="2"/>
    <x v="2"/>
    <x v="1"/>
    <x v="136"/>
    <x v="485"/>
    <x v="188"/>
    <x v="549"/>
    <x v="74"/>
    <x v="66"/>
    <x v="8"/>
  </r>
  <r>
    <x v="0"/>
    <x v="46"/>
    <x v="46"/>
    <x v="0"/>
    <x v="0"/>
    <x v="0"/>
    <x v="2"/>
    <x v="103"/>
    <x v="311"/>
    <x v="259"/>
    <x v="550"/>
    <x v="80"/>
    <x v="490"/>
    <x v="8"/>
  </r>
  <r>
    <x v="0"/>
    <x v="46"/>
    <x v="46"/>
    <x v="3"/>
    <x v="3"/>
    <x v="3"/>
    <x v="3"/>
    <x v="138"/>
    <x v="486"/>
    <x v="119"/>
    <x v="232"/>
    <x v="53"/>
    <x v="382"/>
    <x v="8"/>
  </r>
  <r>
    <x v="0"/>
    <x v="46"/>
    <x v="46"/>
    <x v="5"/>
    <x v="5"/>
    <x v="5"/>
    <x v="4"/>
    <x v="106"/>
    <x v="487"/>
    <x v="51"/>
    <x v="353"/>
    <x v="185"/>
    <x v="491"/>
    <x v="8"/>
  </r>
  <r>
    <x v="0"/>
    <x v="46"/>
    <x v="46"/>
    <x v="8"/>
    <x v="8"/>
    <x v="8"/>
    <x v="5"/>
    <x v="141"/>
    <x v="59"/>
    <x v="62"/>
    <x v="551"/>
    <x v="77"/>
    <x v="250"/>
    <x v="8"/>
  </r>
  <r>
    <x v="0"/>
    <x v="46"/>
    <x v="46"/>
    <x v="6"/>
    <x v="6"/>
    <x v="6"/>
    <x v="6"/>
    <x v="50"/>
    <x v="393"/>
    <x v="93"/>
    <x v="552"/>
    <x v="84"/>
    <x v="6"/>
    <x v="5"/>
  </r>
  <r>
    <x v="0"/>
    <x v="46"/>
    <x v="46"/>
    <x v="7"/>
    <x v="7"/>
    <x v="7"/>
    <x v="7"/>
    <x v="51"/>
    <x v="107"/>
    <x v="47"/>
    <x v="553"/>
    <x v="87"/>
    <x v="492"/>
    <x v="5"/>
  </r>
  <r>
    <x v="0"/>
    <x v="46"/>
    <x v="46"/>
    <x v="13"/>
    <x v="13"/>
    <x v="13"/>
    <x v="8"/>
    <x v="53"/>
    <x v="141"/>
    <x v="78"/>
    <x v="554"/>
    <x v="75"/>
    <x v="430"/>
    <x v="8"/>
  </r>
  <r>
    <x v="0"/>
    <x v="46"/>
    <x v="46"/>
    <x v="11"/>
    <x v="11"/>
    <x v="11"/>
    <x v="9"/>
    <x v="210"/>
    <x v="142"/>
    <x v="100"/>
    <x v="509"/>
    <x v="71"/>
    <x v="443"/>
    <x v="8"/>
  </r>
  <r>
    <x v="0"/>
    <x v="46"/>
    <x v="46"/>
    <x v="10"/>
    <x v="10"/>
    <x v="10"/>
    <x v="10"/>
    <x v="54"/>
    <x v="239"/>
    <x v="81"/>
    <x v="311"/>
    <x v="53"/>
    <x v="382"/>
    <x v="8"/>
  </r>
  <r>
    <x v="0"/>
    <x v="46"/>
    <x v="46"/>
    <x v="9"/>
    <x v="9"/>
    <x v="9"/>
    <x v="10"/>
    <x v="54"/>
    <x v="239"/>
    <x v="109"/>
    <x v="184"/>
    <x v="103"/>
    <x v="204"/>
    <x v="8"/>
  </r>
  <r>
    <x v="0"/>
    <x v="46"/>
    <x v="46"/>
    <x v="12"/>
    <x v="12"/>
    <x v="12"/>
    <x v="12"/>
    <x v="56"/>
    <x v="488"/>
    <x v="51"/>
    <x v="353"/>
    <x v="55"/>
    <x v="493"/>
    <x v="8"/>
  </r>
  <r>
    <x v="0"/>
    <x v="46"/>
    <x v="46"/>
    <x v="4"/>
    <x v="4"/>
    <x v="4"/>
    <x v="13"/>
    <x v="82"/>
    <x v="308"/>
    <x v="155"/>
    <x v="313"/>
    <x v="142"/>
    <x v="389"/>
    <x v="8"/>
  </r>
  <r>
    <x v="0"/>
    <x v="46"/>
    <x v="46"/>
    <x v="19"/>
    <x v="19"/>
    <x v="19"/>
    <x v="14"/>
    <x v="130"/>
    <x v="414"/>
    <x v="56"/>
    <x v="55"/>
    <x v="54"/>
    <x v="362"/>
    <x v="5"/>
  </r>
  <r>
    <x v="0"/>
    <x v="46"/>
    <x v="46"/>
    <x v="17"/>
    <x v="17"/>
    <x v="17"/>
    <x v="15"/>
    <x v="159"/>
    <x v="171"/>
    <x v="54"/>
    <x v="198"/>
    <x v="75"/>
    <x v="430"/>
    <x v="8"/>
  </r>
  <r>
    <x v="0"/>
    <x v="46"/>
    <x v="46"/>
    <x v="15"/>
    <x v="15"/>
    <x v="15"/>
    <x v="16"/>
    <x v="194"/>
    <x v="323"/>
    <x v="82"/>
    <x v="160"/>
    <x v="67"/>
    <x v="232"/>
    <x v="8"/>
  </r>
  <r>
    <x v="0"/>
    <x v="46"/>
    <x v="46"/>
    <x v="29"/>
    <x v="29"/>
    <x v="29"/>
    <x v="17"/>
    <x v="195"/>
    <x v="145"/>
    <x v="52"/>
    <x v="87"/>
    <x v="75"/>
    <x v="430"/>
    <x v="8"/>
  </r>
  <r>
    <x v="0"/>
    <x v="46"/>
    <x v="46"/>
    <x v="14"/>
    <x v="14"/>
    <x v="14"/>
    <x v="17"/>
    <x v="195"/>
    <x v="145"/>
    <x v="52"/>
    <x v="87"/>
    <x v="75"/>
    <x v="430"/>
    <x v="8"/>
  </r>
  <r>
    <x v="0"/>
    <x v="46"/>
    <x v="46"/>
    <x v="32"/>
    <x v="32"/>
    <x v="32"/>
    <x v="19"/>
    <x v="83"/>
    <x v="361"/>
    <x v="81"/>
    <x v="311"/>
    <x v="81"/>
    <x v="60"/>
    <x v="8"/>
  </r>
  <r>
    <x v="0"/>
    <x v="47"/>
    <x v="47"/>
    <x v="0"/>
    <x v="0"/>
    <x v="0"/>
    <x v="0"/>
    <x v="380"/>
    <x v="99"/>
    <x v="284"/>
    <x v="555"/>
    <x v="123"/>
    <x v="106"/>
    <x v="8"/>
  </r>
  <r>
    <x v="0"/>
    <x v="47"/>
    <x v="47"/>
    <x v="1"/>
    <x v="1"/>
    <x v="1"/>
    <x v="1"/>
    <x v="381"/>
    <x v="489"/>
    <x v="88"/>
    <x v="556"/>
    <x v="151"/>
    <x v="474"/>
    <x v="8"/>
  </r>
  <r>
    <x v="0"/>
    <x v="47"/>
    <x v="47"/>
    <x v="2"/>
    <x v="2"/>
    <x v="2"/>
    <x v="2"/>
    <x v="288"/>
    <x v="490"/>
    <x v="285"/>
    <x v="557"/>
    <x v="70"/>
    <x v="332"/>
    <x v="5"/>
  </r>
  <r>
    <x v="0"/>
    <x v="47"/>
    <x v="47"/>
    <x v="3"/>
    <x v="3"/>
    <x v="3"/>
    <x v="3"/>
    <x v="98"/>
    <x v="491"/>
    <x v="286"/>
    <x v="558"/>
    <x v="169"/>
    <x v="170"/>
    <x v="8"/>
  </r>
  <r>
    <x v="0"/>
    <x v="47"/>
    <x v="47"/>
    <x v="5"/>
    <x v="5"/>
    <x v="5"/>
    <x v="4"/>
    <x v="246"/>
    <x v="492"/>
    <x v="200"/>
    <x v="503"/>
    <x v="267"/>
    <x v="494"/>
    <x v="8"/>
  </r>
  <r>
    <x v="0"/>
    <x v="47"/>
    <x v="47"/>
    <x v="10"/>
    <x v="10"/>
    <x v="10"/>
    <x v="5"/>
    <x v="382"/>
    <x v="493"/>
    <x v="93"/>
    <x v="191"/>
    <x v="235"/>
    <x v="495"/>
    <x v="8"/>
  </r>
  <r>
    <x v="0"/>
    <x v="47"/>
    <x v="47"/>
    <x v="9"/>
    <x v="9"/>
    <x v="9"/>
    <x v="6"/>
    <x v="234"/>
    <x v="165"/>
    <x v="138"/>
    <x v="176"/>
    <x v="98"/>
    <x v="496"/>
    <x v="8"/>
  </r>
  <r>
    <x v="0"/>
    <x v="47"/>
    <x v="47"/>
    <x v="7"/>
    <x v="7"/>
    <x v="7"/>
    <x v="6"/>
    <x v="234"/>
    <x v="165"/>
    <x v="177"/>
    <x v="559"/>
    <x v="123"/>
    <x v="106"/>
    <x v="8"/>
  </r>
  <r>
    <x v="0"/>
    <x v="47"/>
    <x v="47"/>
    <x v="6"/>
    <x v="6"/>
    <x v="6"/>
    <x v="8"/>
    <x v="152"/>
    <x v="494"/>
    <x v="145"/>
    <x v="560"/>
    <x v="67"/>
    <x v="187"/>
    <x v="5"/>
  </r>
  <r>
    <x v="0"/>
    <x v="47"/>
    <x v="47"/>
    <x v="8"/>
    <x v="8"/>
    <x v="8"/>
    <x v="9"/>
    <x v="355"/>
    <x v="78"/>
    <x v="194"/>
    <x v="561"/>
    <x v="48"/>
    <x v="87"/>
    <x v="5"/>
  </r>
  <r>
    <x v="0"/>
    <x v="47"/>
    <x v="47"/>
    <x v="13"/>
    <x v="13"/>
    <x v="13"/>
    <x v="10"/>
    <x v="302"/>
    <x v="124"/>
    <x v="98"/>
    <x v="113"/>
    <x v="137"/>
    <x v="179"/>
    <x v="8"/>
  </r>
  <r>
    <x v="0"/>
    <x v="47"/>
    <x v="47"/>
    <x v="12"/>
    <x v="12"/>
    <x v="12"/>
    <x v="11"/>
    <x v="168"/>
    <x v="143"/>
    <x v="73"/>
    <x v="220"/>
    <x v="105"/>
    <x v="69"/>
    <x v="8"/>
  </r>
  <r>
    <x v="0"/>
    <x v="47"/>
    <x v="47"/>
    <x v="19"/>
    <x v="19"/>
    <x v="19"/>
    <x v="12"/>
    <x v="154"/>
    <x v="111"/>
    <x v="82"/>
    <x v="70"/>
    <x v="147"/>
    <x v="10"/>
    <x v="8"/>
  </r>
  <r>
    <x v="0"/>
    <x v="47"/>
    <x v="47"/>
    <x v="14"/>
    <x v="14"/>
    <x v="14"/>
    <x v="13"/>
    <x v="67"/>
    <x v="50"/>
    <x v="81"/>
    <x v="146"/>
    <x v="128"/>
    <x v="64"/>
    <x v="8"/>
  </r>
  <r>
    <x v="0"/>
    <x v="47"/>
    <x v="47"/>
    <x v="17"/>
    <x v="17"/>
    <x v="17"/>
    <x v="14"/>
    <x v="223"/>
    <x v="113"/>
    <x v="200"/>
    <x v="503"/>
    <x v="53"/>
    <x v="258"/>
    <x v="8"/>
  </r>
  <r>
    <x v="0"/>
    <x v="47"/>
    <x v="47"/>
    <x v="4"/>
    <x v="4"/>
    <x v="4"/>
    <x v="15"/>
    <x v="176"/>
    <x v="495"/>
    <x v="66"/>
    <x v="222"/>
    <x v="67"/>
    <x v="187"/>
    <x v="8"/>
  </r>
  <r>
    <x v="0"/>
    <x v="47"/>
    <x v="47"/>
    <x v="32"/>
    <x v="32"/>
    <x v="32"/>
    <x v="16"/>
    <x v="192"/>
    <x v="52"/>
    <x v="120"/>
    <x v="228"/>
    <x v="53"/>
    <x v="258"/>
    <x v="5"/>
  </r>
  <r>
    <x v="0"/>
    <x v="47"/>
    <x v="47"/>
    <x v="16"/>
    <x v="16"/>
    <x v="16"/>
    <x v="17"/>
    <x v="80"/>
    <x v="496"/>
    <x v="83"/>
    <x v="240"/>
    <x v="136"/>
    <x v="67"/>
    <x v="8"/>
  </r>
  <r>
    <x v="0"/>
    <x v="47"/>
    <x v="47"/>
    <x v="11"/>
    <x v="11"/>
    <x v="11"/>
    <x v="18"/>
    <x v="126"/>
    <x v="394"/>
    <x v="104"/>
    <x v="252"/>
    <x v="66"/>
    <x v="341"/>
    <x v="8"/>
  </r>
  <r>
    <x v="0"/>
    <x v="47"/>
    <x v="47"/>
    <x v="29"/>
    <x v="29"/>
    <x v="29"/>
    <x v="19"/>
    <x v="72"/>
    <x v="422"/>
    <x v="46"/>
    <x v="32"/>
    <x v="45"/>
    <x v="123"/>
    <x v="8"/>
  </r>
  <r>
    <x v="0"/>
    <x v="48"/>
    <x v="48"/>
    <x v="1"/>
    <x v="1"/>
    <x v="1"/>
    <x v="0"/>
    <x v="296"/>
    <x v="497"/>
    <x v="97"/>
    <x v="562"/>
    <x v="253"/>
    <x v="497"/>
    <x v="8"/>
  </r>
  <r>
    <x v="0"/>
    <x v="48"/>
    <x v="48"/>
    <x v="2"/>
    <x v="2"/>
    <x v="2"/>
    <x v="1"/>
    <x v="237"/>
    <x v="498"/>
    <x v="206"/>
    <x v="563"/>
    <x v="75"/>
    <x v="50"/>
    <x v="8"/>
  </r>
  <r>
    <x v="0"/>
    <x v="48"/>
    <x v="48"/>
    <x v="0"/>
    <x v="0"/>
    <x v="0"/>
    <x v="2"/>
    <x v="174"/>
    <x v="499"/>
    <x v="186"/>
    <x v="564"/>
    <x v="114"/>
    <x v="396"/>
    <x v="8"/>
  </r>
  <r>
    <x v="0"/>
    <x v="48"/>
    <x v="48"/>
    <x v="3"/>
    <x v="3"/>
    <x v="3"/>
    <x v="3"/>
    <x v="106"/>
    <x v="500"/>
    <x v="95"/>
    <x v="565"/>
    <x v="103"/>
    <x v="130"/>
    <x v="8"/>
  </r>
  <r>
    <x v="0"/>
    <x v="48"/>
    <x v="48"/>
    <x v="5"/>
    <x v="5"/>
    <x v="5"/>
    <x v="4"/>
    <x v="76"/>
    <x v="501"/>
    <x v="100"/>
    <x v="338"/>
    <x v="225"/>
    <x v="498"/>
    <x v="8"/>
  </r>
  <r>
    <x v="0"/>
    <x v="48"/>
    <x v="48"/>
    <x v="8"/>
    <x v="8"/>
    <x v="8"/>
    <x v="5"/>
    <x v="47"/>
    <x v="271"/>
    <x v="107"/>
    <x v="566"/>
    <x v="86"/>
    <x v="34"/>
    <x v="8"/>
  </r>
  <r>
    <x v="0"/>
    <x v="48"/>
    <x v="48"/>
    <x v="7"/>
    <x v="7"/>
    <x v="7"/>
    <x v="6"/>
    <x v="50"/>
    <x v="122"/>
    <x v="235"/>
    <x v="485"/>
    <x v="142"/>
    <x v="74"/>
    <x v="8"/>
  </r>
  <r>
    <x v="0"/>
    <x v="48"/>
    <x v="48"/>
    <x v="6"/>
    <x v="6"/>
    <x v="6"/>
    <x v="7"/>
    <x v="114"/>
    <x v="502"/>
    <x v="191"/>
    <x v="567"/>
    <x v="77"/>
    <x v="228"/>
    <x v="8"/>
  </r>
  <r>
    <x v="0"/>
    <x v="48"/>
    <x v="48"/>
    <x v="13"/>
    <x v="13"/>
    <x v="13"/>
    <x v="8"/>
    <x v="177"/>
    <x v="503"/>
    <x v="78"/>
    <x v="568"/>
    <x v="82"/>
    <x v="192"/>
    <x v="8"/>
  </r>
  <r>
    <x v="0"/>
    <x v="48"/>
    <x v="48"/>
    <x v="4"/>
    <x v="4"/>
    <x v="4"/>
    <x v="9"/>
    <x v="71"/>
    <x v="338"/>
    <x v="120"/>
    <x v="569"/>
    <x v="78"/>
    <x v="100"/>
    <x v="8"/>
  </r>
  <r>
    <x v="0"/>
    <x v="48"/>
    <x v="48"/>
    <x v="10"/>
    <x v="10"/>
    <x v="10"/>
    <x v="10"/>
    <x v="82"/>
    <x v="274"/>
    <x v="55"/>
    <x v="277"/>
    <x v="78"/>
    <x v="100"/>
    <x v="8"/>
  </r>
  <r>
    <x v="0"/>
    <x v="48"/>
    <x v="48"/>
    <x v="9"/>
    <x v="9"/>
    <x v="9"/>
    <x v="11"/>
    <x v="118"/>
    <x v="65"/>
    <x v="67"/>
    <x v="146"/>
    <x v="54"/>
    <x v="337"/>
    <x v="8"/>
  </r>
  <r>
    <x v="0"/>
    <x v="48"/>
    <x v="48"/>
    <x v="12"/>
    <x v="12"/>
    <x v="12"/>
    <x v="12"/>
    <x v="130"/>
    <x v="126"/>
    <x v="69"/>
    <x v="439"/>
    <x v="87"/>
    <x v="402"/>
    <x v="5"/>
  </r>
  <r>
    <x v="0"/>
    <x v="48"/>
    <x v="48"/>
    <x v="17"/>
    <x v="17"/>
    <x v="17"/>
    <x v="13"/>
    <x v="131"/>
    <x v="112"/>
    <x v="65"/>
    <x v="371"/>
    <x v="55"/>
    <x v="191"/>
    <x v="8"/>
  </r>
  <r>
    <x v="0"/>
    <x v="48"/>
    <x v="48"/>
    <x v="32"/>
    <x v="32"/>
    <x v="32"/>
    <x v="14"/>
    <x v="194"/>
    <x v="98"/>
    <x v="76"/>
    <x v="17"/>
    <x v="56"/>
    <x v="300"/>
    <x v="8"/>
  </r>
  <r>
    <x v="0"/>
    <x v="48"/>
    <x v="48"/>
    <x v="19"/>
    <x v="19"/>
    <x v="19"/>
    <x v="15"/>
    <x v="84"/>
    <x v="187"/>
    <x v="56"/>
    <x v="55"/>
    <x v="115"/>
    <x v="499"/>
    <x v="8"/>
  </r>
  <r>
    <x v="0"/>
    <x v="48"/>
    <x v="48"/>
    <x v="15"/>
    <x v="15"/>
    <x v="15"/>
    <x v="16"/>
    <x v="86"/>
    <x v="19"/>
    <x v="67"/>
    <x v="146"/>
    <x v="86"/>
    <x v="34"/>
    <x v="8"/>
  </r>
  <r>
    <x v="0"/>
    <x v="48"/>
    <x v="48"/>
    <x v="16"/>
    <x v="16"/>
    <x v="16"/>
    <x v="17"/>
    <x v="87"/>
    <x v="361"/>
    <x v="70"/>
    <x v="67"/>
    <x v="56"/>
    <x v="300"/>
    <x v="8"/>
  </r>
  <r>
    <x v="0"/>
    <x v="48"/>
    <x v="48"/>
    <x v="14"/>
    <x v="14"/>
    <x v="14"/>
    <x v="18"/>
    <x v="88"/>
    <x v="342"/>
    <x v="83"/>
    <x v="364"/>
    <x v="56"/>
    <x v="300"/>
    <x v="8"/>
  </r>
  <r>
    <x v="0"/>
    <x v="48"/>
    <x v="48"/>
    <x v="37"/>
    <x v="37"/>
    <x v="37"/>
    <x v="19"/>
    <x v="306"/>
    <x v="504"/>
    <x v="83"/>
    <x v="364"/>
    <x v="77"/>
    <x v="228"/>
    <x v="8"/>
  </r>
  <r>
    <x v="0"/>
    <x v="48"/>
    <x v="48"/>
    <x v="45"/>
    <x v="45"/>
    <x v="45"/>
    <x v="19"/>
    <x v="306"/>
    <x v="504"/>
    <x v="46"/>
    <x v="221"/>
    <x v="85"/>
    <x v="136"/>
    <x v="8"/>
  </r>
  <r>
    <x v="0"/>
    <x v="48"/>
    <x v="48"/>
    <x v="20"/>
    <x v="20"/>
    <x v="20"/>
    <x v="19"/>
    <x v="306"/>
    <x v="504"/>
    <x v="82"/>
    <x v="468"/>
    <x v="86"/>
    <x v="34"/>
    <x v="8"/>
  </r>
  <r>
    <x v="0"/>
    <x v="49"/>
    <x v="49"/>
    <x v="1"/>
    <x v="1"/>
    <x v="1"/>
    <x v="0"/>
    <x v="383"/>
    <x v="505"/>
    <x v="41"/>
    <x v="570"/>
    <x v="268"/>
    <x v="500"/>
    <x v="8"/>
  </r>
  <r>
    <x v="0"/>
    <x v="49"/>
    <x v="49"/>
    <x v="0"/>
    <x v="0"/>
    <x v="0"/>
    <x v="1"/>
    <x v="197"/>
    <x v="506"/>
    <x v="287"/>
    <x v="571"/>
    <x v="44"/>
    <x v="178"/>
    <x v="8"/>
  </r>
  <r>
    <x v="0"/>
    <x v="49"/>
    <x v="49"/>
    <x v="2"/>
    <x v="2"/>
    <x v="2"/>
    <x v="2"/>
    <x v="74"/>
    <x v="507"/>
    <x v="288"/>
    <x v="572"/>
    <x v="64"/>
    <x v="490"/>
    <x v="8"/>
  </r>
  <r>
    <x v="0"/>
    <x v="49"/>
    <x v="49"/>
    <x v="3"/>
    <x v="3"/>
    <x v="3"/>
    <x v="3"/>
    <x v="303"/>
    <x v="491"/>
    <x v="165"/>
    <x v="386"/>
    <x v="113"/>
    <x v="29"/>
    <x v="8"/>
  </r>
  <r>
    <x v="0"/>
    <x v="49"/>
    <x v="49"/>
    <x v="5"/>
    <x v="5"/>
    <x v="5"/>
    <x v="4"/>
    <x v="104"/>
    <x v="88"/>
    <x v="103"/>
    <x v="222"/>
    <x v="140"/>
    <x v="501"/>
    <x v="8"/>
  </r>
  <r>
    <x v="0"/>
    <x v="49"/>
    <x v="49"/>
    <x v="10"/>
    <x v="10"/>
    <x v="10"/>
    <x v="4"/>
    <x v="104"/>
    <x v="88"/>
    <x v="154"/>
    <x v="338"/>
    <x v="247"/>
    <x v="502"/>
    <x v="8"/>
  </r>
  <r>
    <x v="0"/>
    <x v="49"/>
    <x v="49"/>
    <x v="9"/>
    <x v="9"/>
    <x v="9"/>
    <x v="6"/>
    <x v="238"/>
    <x v="508"/>
    <x v="58"/>
    <x v="475"/>
    <x v="88"/>
    <x v="503"/>
    <x v="8"/>
  </r>
  <r>
    <x v="0"/>
    <x v="49"/>
    <x v="49"/>
    <x v="11"/>
    <x v="11"/>
    <x v="11"/>
    <x v="7"/>
    <x v="106"/>
    <x v="44"/>
    <x v="48"/>
    <x v="573"/>
    <x v="50"/>
    <x v="342"/>
    <x v="8"/>
  </r>
  <r>
    <x v="0"/>
    <x v="49"/>
    <x v="49"/>
    <x v="6"/>
    <x v="6"/>
    <x v="6"/>
    <x v="8"/>
    <x v="199"/>
    <x v="7"/>
    <x v="130"/>
    <x v="559"/>
    <x v="87"/>
    <x v="226"/>
    <x v="8"/>
  </r>
  <r>
    <x v="0"/>
    <x v="49"/>
    <x v="49"/>
    <x v="13"/>
    <x v="13"/>
    <x v="13"/>
    <x v="9"/>
    <x v="47"/>
    <x v="206"/>
    <x v="199"/>
    <x v="129"/>
    <x v="51"/>
    <x v="504"/>
    <x v="5"/>
  </r>
  <r>
    <x v="0"/>
    <x v="49"/>
    <x v="49"/>
    <x v="7"/>
    <x v="7"/>
    <x v="7"/>
    <x v="10"/>
    <x v="141"/>
    <x v="282"/>
    <x v="72"/>
    <x v="128"/>
    <x v="55"/>
    <x v="187"/>
    <x v="8"/>
  </r>
  <r>
    <x v="0"/>
    <x v="49"/>
    <x v="49"/>
    <x v="8"/>
    <x v="8"/>
    <x v="8"/>
    <x v="11"/>
    <x v="48"/>
    <x v="93"/>
    <x v="201"/>
    <x v="574"/>
    <x v="75"/>
    <x v="403"/>
    <x v="8"/>
  </r>
  <r>
    <x v="0"/>
    <x v="49"/>
    <x v="49"/>
    <x v="19"/>
    <x v="19"/>
    <x v="19"/>
    <x v="12"/>
    <x v="115"/>
    <x v="509"/>
    <x v="56"/>
    <x v="55"/>
    <x v="45"/>
    <x v="286"/>
    <x v="8"/>
  </r>
  <r>
    <x v="0"/>
    <x v="49"/>
    <x v="49"/>
    <x v="36"/>
    <x v="36"/>
    <x v="36"/>
    <x v="13"/>
    <x v="57"/>
    <x v="38"/>
    <x v="80"/>
    <x v="416"/>
    <x v="75"/>
    <x v="403"/>
    <x v="8"/>
  </r>
  <r>
    <x v="0"/>
    <x v="49"/>
    <x v="49"/>
    <x v="12"/>
    <x v="12"/>
    <x v="12"/>
    <x v="14"/>
    <x v="58"/>
    <x v="477"/>
    <x v="127"/>
    <x v="210"/>
    <x v="81"/>
    <x v="505"/>
    <x v="8"/>
  </r>
  <r>
    <x v="0"/>
    <x v="49"/>
    <x v="49"/>
    <x v="14"/>
    <x v="14"/>
    <x v="14"/>
    <x v="14"/>
    <x v="58"/>
    <x v="477"/>
    <x v="54"/>
    <x v="324"/>
    <x v="48"/>
    <x v="51"/>
    <x v="8"/>
  </r>
  <r>
    <x v="0"/>
    <x v="49"/>
    <x v="49"/>
    <x v="34"/>
    <x v="34"/>
    <x v="34"/>
    <x v="16"/>
    <x v="127"/>
    <x v="352"/>
    <x v="55"/>
    <x v="370"/>
    <x v="109"/>
    <x v="123"/>
    <x v="8"/>
  </r>
  <r>
    <x v="0"/>
    <x v="49"/>
    <x v="49"/>
    <x v="4"/>
    <x v="4"/>
    <x v="4"/>
    <x v="16"/>
    <x v="127"/>
    <x v="352"/>
    <x v="115"/>
    <x v="537"/>
    <x v="86"/>
    <x v="506"/>
    <x v="8"/>
  </r>
  <r>
    <x v="0"/>
    <x v="49"/>
    <x v="49"/>
    <x v="18"/>
    <x v="18"/>
    <x v="18"/>
    <x v="18"/>
    <x v="73"/>
    <x v="323"/>
    <x v="77"/>
    <x v="114"/>
    <x v="67"/>
    <x v="249"/>
    <x v="8"/>
  </r>
  <r>
    <x v="0"/>
    <x v="49"/>
    <x v="49"/>
    <x v="43"/>
    <x v="43"/>
    <x v="43"/>
    <x v="19"/>
    <x v="128"/>
    <x v="223"/>
    <x v="53"/>
    <x v="127"/>
    <x v="55"/>
    <x v="187"/>
    <x v="8"/>
  </r>
  <r>
    <x v="0"/>
    <x v="50"/>
    <x v="50"/>
    <x v="1"/>
    <x v="1"/>
    <x v="1"/>
    <x v="0"/>
    <x v="384"/>
    <x v="510"/>
    <x v="289"/>
    <x v="575"/>
    <x v="269"/>
    <x v="507"/>
    <x v="8"/>
  </r>
  <r>
    <x v="0"/>
    <x v="50"/>
    <x v="50"/>
    <x v="0"/>
    <x v="0"/>
    <x v="0"/>
    <x v="1"/>
    <x v="96"/>
    <x v="355"/>
    <x v="290"/>
    <x v="576"/>
    <x v="56"/>
    <x v="492"/>
    <x v="8"/>
  </r>
  <r>
    <x v="0"/>
    <x v="50"/>
    <x v="50"/>
    <x v="2"/>
    <x v="2"/>
    <x v="2"/>
    <x v="2"/>
    <x v="233"/>
    <x v="41"/>
    <x v="291"/>
    <x v="577"/>
    <x v="67"/>
    <x v="398"/>
    <x v="8"/>
  </r>
  <r>
    <x v="0"/>
    <x v="50"/>
    <x v="50"/>
    <x v="5"/>
    <x v="5"/>
    <x v="5"/>
    <x v="3"/>
    <x v="137"/>
    <x v="511"/>
    <x v="58"/>
    <x v="72"/>
    <x v="214"/>
    <x v="508"/>
    <x v="8"/>
  </r>
  <r>
    <x v="0"/>
    <x v="50"/>
    <x v="50"/>
    <x v="3"/>
    <x v="3"/>
    <x v="3"/>
    <x v="4"/>
    <x v="191"/>
    <x v="512"/>
    <x v="72"/>
    <x v="578"/>
    <x v="113"/>
    <x v="285"/>
    <x v="8"/>
  </r>
  <r>
    <x v="0"/>
    <x v="50"/>
    <x v="50"/>
    <x v="11"/>
    <x v="11"/>
    <x v="11"/>
    <x v="5"/>
    <x v="147"/>
    <x v="88"/>
    <x v="198"/>
    <x v="347"/>
    <x v="141"/>
    <x v="509"/>
    <x v="8"/>
  </r>
  <r>
    <x v="0"/>
    <x v="50"/>
    <x v="50"/>
    <x v="10"/>
    <x v="10"/>
    <x v="10"/>
    <x v="6"/>
    <x v="149"/>
    <x v="513"/>
    <x v="155"/>
    <x v="196"/>
    <x v="152"/>
    <x v="486"/>
    <x v="8"/>
  </r>
  <r>
    <x v="0"/>
    <x v="50"/>
    <x v="50"/>
    <x v="9"/>
    <x v="9"/>
    <x v="9"/>
    <x v="7"/>
    <x v="155"/>
    <x v="316"/>
    <x v="69"/>
    <x v="262"/>
    <x v="112"/>
    <x v="472"/>
    <x v="8"/>
  </r>
  <r>
    <x v="0"/>
    <x v="50"/>
    <x v="50"/>
    <x v="6"/>
    <x v="6"/>
    <x v="6"/>
    <x v="8"/>
    <x v="223"/>
    <x v="435"/>
    <x v="93"/>
    <x v="579"/>
    <x v="77"/>
    <x v="195"/>
    <x v="8"/>
  </r>
  <r>
    <x v="0"/>
    <x v="50"/>
    <x v="50"/>
    <x v="29"/>
    <x v="29"/>
    <x v="29"/>
    <x v="9"/>
    <x v="114"/>
    <x v="306"/>
    <x v="49"/>
    <x v="536"/>
    <x v="120"/>
    <x v="214"/>
    <x v="8"/>
  </r>
  <r>
    <x v="0"/>
    <x v="50"/>
    <x v="50"/>
    <x v="7"/>
    <x v="7"/>
    <x v="7"/>
    <x v="10"/>
    <x v="156"/>
    <x v="63"/>
    <x v="91"/>
    <x v="580"/>
    <x v="75"/>
    <x v="466"/>
    <x v="8"/>
  </r>
  <r>
    <x v="0"/>
    <x v="50"/>
    <x v="50"/>
    <x v="13"/>
    <x v="13"/>
    <x v="13"/>
    <x v="11"/>
    <x v="51"/>
    <x v="340"/>
    <x v="208"/>
    <x v="581"/>
    <x v="78"/>
    <x v="240"/>
    <x v="8"/>
  </r>
  <r>
    <x v="0"/>
    <x v="50"/>
    <x v="50"/>
    <x v="8"/>
    <x v="8"/>
    <x v="8"/>
    <x v="12"/>
    <x v="116"/>
    <x v="412"/>
    <x v="103"/>
    <x v="582"/>
    <x v="73"/>
    <x v="465"/>
    <x v="8"/>
  </r>
  <r>
    <x v="0"/>
    <x v="50"/>
    <x v="50"/>
    <x v="28"/>
    <x v="28"/>
    <x v="28"/>
    <x v="13"/>
    <x v="57"/>
    <x v="17"/>
    <x v="55"/>
    <x v="430"/>
    <x v="57"/>
    <x v="34"/>
    <x v="8"/>
  </r>
  <r>
    <x v="0"/>
    <x v="50"/>
    <x v="50"/>
    <x v="14"/>
    <x v="14"/>
    <x v="14"/>
    <x v="14"/>
    <x v="58"/>
    <x v="37"/>
    <x v="83"/>
    <x v="583"/>
    <x v="45"/>
    <x v="510"/>
    <x v="8"/>
  </r>
  <r>
    <x v="0"/>
    <x v="50"/>
    <x v="50"/>
    <x v="12"/>
    <x v="12"/>
    <x v="12"/>
    <x v="15"/>
    <x v="73"/>
    <x v="414"/>
    <x v="81"/>
    <x v="17"/>
    <x v="78"/>
    <x v="240"/>
    <x v="8"/>
  </r>
  <r>
    <x v="0"/>
    <x v="50"/>
    <x v="50"/>
    <x v="18"/>
    <x v="18"/>
    <x v="18"/>
    <x v="16"/>
    <x v="128"/>
    <x v="477"/>
    <x v="54"/>
    <x v="342"/>
    <x v="139"/>
    <x v="355"/>
    <x v="8"/>
  </r>
  <r>
    <x v="0"/>
    <x v="50"/>
    <x v="50"/>
    <x v="32"/>
    <x v="32"/>
    <x v="32"/>
    <x v="17"/>
    <x v="119"/>
    <x v="145"/>
    <x v="46"/>
    <x v="147"/>
    <x v="115"/>
    <x v="298"/>
    <x v="5"/>
  </r>
  <r>
    <x v="0"/>
    <x v="50"/>
    <x v="50"/>
    <x v="4"/>
    <x v="4"/>
    <x v="4"/>
    <x v="18"/>
    <x v="131"/>
    <x v="394"/>
    <x v="49"/>
    <x v="536"/>
    <x v="86"/>
    <x v="42"/>
    <x v="8"/>
  </r>
  <r>
    <x v="0"/>
    <x v="50"/>
    <x v="50"/>
    <x v="31"/>
    <x v="31"/>
    <x v="31"/>
    <x v="19"/>
    <x v="194"/>
    <x v="362"/>
    <x v="104"/>
    <x v="52"/>
    <x v="226"/>
    <x v="305"/>
    <x v="8"/>
  </r>
  <r>
    <x v="0"/>
    <x v="51"/>
    <x v="51"/>
    <x v="1"/>
    <x v="1"/>
    <x v="1"/>
    <x v="0"/>
    <x v="333"/>
    <x v="514"/>
    <x v="42"/>
    <x v="584"/>
    <x v="160"/>
    <x v="511"/>
    <x v="8"/>
  </r>
  <r>
    <x v="0"/>
    <x v="51"/>
    <x v="51"/>
    <x v="0"/>
    <x v="0"/>
    <x v="0"/>
    <x v="1"/>
    <x v="385"/>
    <x v="515"/>
    <x v="292"/>
    <x v="585"/>
    <x v="55"/>
    <x v="143"/>
    <x v="8"/>
  </r>
  <r>
    <x v="0"/>
    <x v="51"/>
    <x v="51"/>
    <x v="2"/>
    <x v="2"/>
    <x v="2"/>
    <x v="1"/>
    <x v="385"/>
    <x v="515"/>
    <x v="293"/>
    <x v="586"/>
    <x v="61"/>
    <x v="38"/>
    <x v="8"/>
  </r>
  <r>
    <x v="0"/>
    <x v="51"/>
    <x v="51"/>
    <x v="3"/>
    <x v="3"/>
    <x v="3"/>
    <x v="3"/>
    <x v="338"/>
    <x v="460"/>
    <x v="186"/>
    <x v="587"/>
    <x v="270"/>
    <x v="512"/>
    <x v="8"/>
  </r>
  <r>
    <x v="0"/>
    <x v="51"/>
    <x v="51"/>
    <x v="5"/>
    <x v="5"/>
    <x v="5"/>
    <x v="4"/>
    <x v="386"/>
    <x v="516"/>
    <x v="136"/>
    <x v="363"/>
    <x v="193"/>
    <x v="326"/>
    <x v="8"/>
  </r>
  <r>
    <x v="0"/>
    <x v="51"/>
    <x v="51"/>
    <x v="23"/>
    <x v="23"/>
    <x v="23"/>
    <x v="5"/>
    <x v="43"/>
    <x v="89"/>
    <x v="110"/>
    <x v="588"/>
    <x v="70"/>
    <x v="504"/>
    <x v="8"/>
  </r>
  <r>
    <x v="0"/>
    <x v="51"/>
    <x v="51"/>
    <x v="8"/>
    <x v="8"/>
    <x v="8"/>
    <x v="6"/>
    <x v="163"/>
    <x v="313"/>
    <x v="110"/>
    <x v="588"/>
    <x v="48"/>
    <x v="71"/>
    <x v="5"/>
  </r>
  <r>
    <x v="0"/>
    <x v="51"/>
    <x v="51"/>
    <x v="6"/>
    <x v="6"/>
    <x v="6"/>
    <x v="7"/>
    <x v="64"/>
    <x v="348"/>
    <x v="246"/>
    <x v="589"/>
    <x v="142"/>
    <x v="24"/>
    <x v="8"/>
  </r>
  <r>
    <x v="0"/>
    <x v="51"/>
    <x v="51"/>
    <x v="9"/>
    <x v="9"/>
    <x v="9"/>
    <x v="8"/>
    <x v="312"/>
    <x v="314"/>
    <x v="78"/>
    <x v="156"/>
    <x v="254"/>
    <x v="477"/>
    <x v="8"/>
  </r>
  <r>
    <x v="0"/>
    <x v="51"/>
    <x v="51"/>
    <x v="13"/>
    <x v="13"/>
    <x v="13"/>
    <x v="9"/>
    <x v="341"/>
    <x v="517"/>
    <x v="90"/>
    <x v="590"/>
    <x v="52"/>
    <x v="314"/>
    <x v="8"/>
  </r>
  <r>
    <x v="0"/>
    <x v="51"/>
    <x v="51"/>
    <x v="7"/>
    <x v="7"/>
    <x v="7"/>
    <x v="10"/>
    <x v="238"/>
    <x v="61"/>
    <x v="165"/>
    <x v="591"/>
    <x v="44"/>
    <x v="80"/>
    <x v="8"/>
  </r>
  <r>
    <x v="0"/>
    <x v="51"/>
    <x v="51"/>
    <x v="10"/>
    <x v="10"/>
    <x v="10"/>
    <x v="11"/>
    <x v="198"/>
    <x v="282"/>
    <x v="200"/>
    <x v="272"/>
    <x v="58"/>
    <x v="55"/>
    <x v="8"/>
  </r>
  <r>
    <x v="0"/>
    <x v="51"/>
    <x v="51"/>
    <x v="4"/>
    <x v="4"/>
    <x v="4"/>
    <x v="12"/>
    <x v="219"/>
    <x v="287"/>
    <x v="124"/>
    <x v="338"/>
    <x v="57"/>
    <x v="75"/>
    <x v="8"/>
  </r>
  <r>
    <x v="0"/>
    <x v="51"/>
    <x v="51"/>
    <x v="12"/>
    <x v="12"/>
    <x v="12"/>
    <x v="13"/>
    <x v="77"/>
    <x v="518"/>
    <x v="102"/>
    <x v="277"/>
    <x v="72"/>
    <x v="68"/>
    <x v="8"/>
  </r>
  <r>
    <x v="0"/>
    <x v="51"/>
    <x v="51"/>
    <x v="31"/>
    <x v="31"/>
    <x v="31"/>
    <x v="14"/>
    <x v="193"/>
    <x v="98"/>
    <x v="47"/>
    <x v="592"/>
    <x v="226"/>
    <x v="513"/>
    <x v="8"/>
  </r>
  <r>
    <x v="0"/>
    <x v="51"/>
    <x v="51"/>
    <x v="11"/>
    <x v="11"/>
    <x v="11"/>
    <x v="15"/>
    <x v="69"/>
    <x v="275"/>
    <x v="79"/>
    <x v="320"/>
    <x v="57"/>
    <x v="75"/>
    <x v="8"/>
  </r>
  <r>
    <x v="0"/>
    <x v="51"/>
    <x v="51"/>
    <x v="15"/>
    <x v="15"/>
    <x v="15"/>
    <x v="16"/>
    <x v="70"/>
    <x v="266"/>
    <x v="50"/>
    <x v="132"/>
    <x v="123"/>
    <x v="211"/>
    <x v="5"/>
  </r>
  <r>
    <x v="0"/>
    <x v="51"/>
    <x v="51"/>
    <x v="14"/>
    <x v="14"/>
    <x v="14"/>
    <x v="17"/>
    <x v="117"/>
    <x v="222"/>
    <x v="52"/>
    <x v="465"/>
    <x v="47"/>
    <x v="343"/>
    <x v="8"/>
  </r>
  <r>
    <x v="0"/>
    <x v="51"/>
    <x v="51"/>
    <x v="19"/>
    <x v="19"/>
    <x v="19"/>
    <x v="18"/>
    <x v="81"/>
    <x v="361"/>
    <x v="68"/>
    <x v="593"/>
    <x v="70"/>
    <x v="504"/>
    <x v="8"/>
  </r>
  <r>
    <x v="0"/>
    <x v="51"/>
    <x v="51"/>
    <x v="32"/>
    <x v="32"/>
    <x v="32"/>
    <x v="19"/>
    <x v="58"/>
    <x v="342"/>
    <x v="57"/>
    <x v="477"/>
    <x v="55"/>
    <x v="143"/>
    <x v="8"/>
  </r>
  <r>
    <x v="0"/>
    <x v="52"/>
    <x v="52"/>
    <x v="1"/>
    <x v="1"/>
    <x v="1"/>
    <x v="0"/>
    <x v="387"/>
    <x v="519"/>
    <x v="130"/>
    <x v="594"/>
    <x v="271"/>
    <x v="514"/>
    <x v="9"/>
  </r>
  <r>
    <x v="0"/>
    <x v="52"/>
    <x v="52"/>
    <x v="2"/>
    <x v="2"/>
    <x v="2"/>
    <x v="1"/>
    <x v="296"/>
    <x v="520"/>
    <x v="253"/>
    <x v="595"/>
    <x v="129"/>
    <x v="348"/>
    <x v="5"/>
  </r>
  <r>
    <x v="0"/>
    <x v="52"/>
    <x v="52"/>
    <x v="0"/>
    <x v="0"/>
    <x v="0"/>
    <x v="2"/>
    <x v="377"/>
    <x v="521"/>
    <x v="197"/>
    <x v="596"/>
    <x v="66"/>
    <x v="476"/>
    <x v="8"/>
  </r>
  <r>
    <x v="0"/>
    <x v="52"/>
    <x v="52"/>
    <x v="5"/>
    <x v="5"/>
    <x v="5"/>
    <x v="3"/>
    <x v="138"/>
    <x v="442"/>
    <x v="55"/>
    <x v="597"/>
    <x v="96"/>
    <x v="515"/>
    <x v="8"/>
  </r>
  <r>
    <x v="0"/>
    <x v="52"/>
    <x v="52"/>
    <x v="3"/>
    <x v="3"/>
    <x v="3"/>
    <x v="3"/>
    <x v="138"/>
    <x v="442"/>
    <x v="101"/>
    <x v="598"/>
    <x v="49"/>
    <x v="311"/>
    <x v="8"/>
  </r>
  <r>
    <x v="0"/>
    <x v="52"/>
    <x v="52"/>
    <x v="6"/>
    <x v="6"/>
    <x v="6"/>
    <x v="5"/>
    <x v="199"/>
    <x v="237"/>
    <x v="130"/>
    <x v="594"/>
    <x v="87"/>
    <x v="305"/>
    <x v="8"/>
  </r>
  <r>
    <x v="0"/>
    <x v="52"/>
    <x v="52"/>
    <x v="7"/>
    <x v="7"/>
    <x v="7"/>
    <x v="6"/>
    <x v="141"/>
    <x v="522"/>
    <x v="63"/>
    <x v="91"/>
    <x v="57"/>
    <x v="181"/>
    <x v="8"/>
  </r>
  <r>
    <x v="0"/>
    <x v="52"/>
    <x v="52"/>
    <x v="10"/>
    <x v="10"/>
    <x v="10"/>
    <x v="7"/>
    <x v="125"/>
    <x v="393"/>
    <x v="53"/>
    <x v="599"/>
    <x v="157"/>
    <x v="516"/>
    <x v="8"/>
  </r>
  <r>
    <x v="0"/>
    <x v="52"/>
    <x v="52"/>
    <x v="4"/>
    <x v="4"/>
    <x v="4"/>
    <x v="8"/>
    <x v="219"/>
    <x v="434"/>
    <x v="198"/>
    <x v="600"/>
    <x v="113"/>
    <x v="517"/>
    <x v="8"/>
  </r>
  <r>
    <x v="0"/>
    <x v="52"/>
    <x v="52"/>
    <x v="8"/>
    <x v="8"/>
    <x v="8"/>
    <x v="9"/>
    <x v="78"/>
    <x v="523"/>
    <x v="47"/>
    <x v="601"/>
    <x v="74"/>
    <x v="478"/>
    <x v="8"/>
  </r>
  <r>
    <x v="0"/>
    <x v="52"/>
    <x v="52"/>
    <x v="9"/>
    <x v="9"/>
    <x v="9"/>
    <x v="10"/>
    <x v="192"/>
    <x v="221"/>
    <x v="77"/>
    <x v="602"/>
    <x v="63"/>
    <x v="518"/>
    <x v="8"/>
  </r>
  <r>
    <x v="0"/>
    <x v="52"/>
    <x v="52"/>
    <x v="13"/>
    <x v="13"/>
    <x v="13"/>
    <x v="10"/>
    <x v="192"/>
    <x v="221"/>
    <x v="58"/>
    <x v="264"/>
    <x v="137"/>
    <x v="519"/>
    <x v="8"/>
  </r>
  <r>
    <x v="0"/>
    <x v="52"/>
    <x v="52"/>
    <x v="12"/>
    <x v="12"/>
    <x v="12"/>
    <x v="12"/>
    <x v="54"/>
    <x v="317"/>
    <x v="148"/>
    <x v="603"/>
    <x v="74"/>
    <x v="478"/>
    <x v="8"/>
  </r>
  <r>
    <x v="0"/>
    <x v="52"/>
    <x v="52"/>
    <x v="14"/>
    <x v="14"/>
    <x v="14"/>
    <x v="13"/>
    <x v="126"/>
    <x v="158"/>
    <x v="52"/>
    <x v="180"/>
    <x v="137"/>
    <x v="519"/>
    <x v="8"/>
  </r>
  <r>
    <x v="0"/>
    <x v="52"/>
    <x v="52"/>
    <x v="15"/>
    <x v="15"/>
    <x v="15"/>
    <x v="14"/>
    <x v="127"/>
    <x v="16"/>
    <x v="67"/>
    <x v="487"/>
    <x v="61"/>
    <x v="18"/>
    <x v="8"/>
  </r>
  <r>
    <x v="0"/>
    <x v="52"/>
    <x v="52"/>
    <x v="17"/>
    <x v="17"/>
    <x v="17"/>
    <x v="14"/>
    <x v="127"/>
    <x v="16"/>
    <x v="65"/>
    <x v="127"/>
    <x v="54"/>
    <x v="122"/>
    <x v="8"/>
  </r>
  <r>
    <x v="0"/>
    <x v="52"/>
    <x v="52"/>
    <x v="37"/>
    <x v="37"/>
    <x v="37"/>
    <x v="16"/>
    <x v="118"/>
    <x v="52"/>
    <x v="70"/>
    <x v="520"/>
    <x v="66"/>
    <x v="476"/>
    <x v="8"/>
  </r>
  <r>
    <x v="0"/>
    <x v="52"/>
    <x v="52"/>
    <x v="18"/>
    <x v="18"/>
    <x v="18"/>
    <x v="17"/>
    <x v="129"/>
    <x v="38"/>
    <x v="68"/>
    <x v="352"/>
    <x v="61"/>
    <x v="18"/>
    <x v="8"/>
  </r>
  <r>
    <x v="0"/>
    <x v="52"/>
    <x v="52"/>
    <x v="16"/>
    <x v="16"/>
    <x v="16"/>
    <x v="18"/>
    <x v="119"/>
    <x v="477"/>
    <x v="83"/>
    <x v="547"/>
    <x v="129"/>
    <x v="348"/>
    <x v="8"/>
  </r>
  <r>
    <x v="0"/>
    <x v="52"/>
    <x v="52"/>
    <x v="19"/>
    <x v="19"/>
    <x v="19"/>
    <x v="18"/>
    <x v="119"/>
    <x v="477"/>
    <x v="68"/>
    <x v="352"/>
    <x v="48"/>
    <x v="186"/>
    <x v="8"/>
  </r>
  <r>
    <x v="0"/>
    <x v="53"/>
    <x v="53"/>
    <x v="1"/>
    <x v="1"/>
    <x v="1"/>
    <x v="0"/>
    <x v="101"/>
    <x v="524"/>
    <x v="63"/>
    <x v="604"/>
    <x v="254"/>
    <x v="520"/>
    <x v="5"/>
  </r>
  <r>
    <x v="0"/>
    <x v="53"/>
    <x v="53"/>
    <x v="2"/>
    <x v="2"/>
    <x v="2"/>
    <x v="1"/>
    <x v="75"/>
    <x v="525"/>
    <x v="110"/>
    <x v="605"/>
    <x v="142"/>
    <x v="263"/>
    <x v="8"/>
  </r>
  <r>
    <x v="0"/>
    <x v="53"/>
    <x v="53"/>
    <x v="0"/>
    <x v="0"/>
    <x v="0"/>
    <x v="2"/>
    <x v="184"/>
    <x v="526"/>
    <x v="194"/>
    <x v="606"/>
    <x v="44"/>
    <x v="194"/>
    <x v="8"/>
  </r>
  <r>
    <x v="0"/>
    <x v="53"/>
    <x v="53"/>
    <x v="3"/>
    <x v="3"/>
    <x v="3"/>
    <x v="3"/>
    <x v="67"/>
    <x v="527"/>
    <x v="199"/>
    <x v="607"/>
    <x v="57"/>
    <x v="312"/>
    <x v="8"/>
  </r>
  <r>
    <x v="0"/>
    <x v="53"/>
    <x v="53"/>
    <x v="5"/>
    <x v="5"/>
    <x v="5"/>
    <x v="4"/>
    <x v="77"/>
    <x v="528"/>
    <x v="81"/>
    <x v="288"/>
    <x v="49"/>
    <x v="521"/>
    <x v="8"/>
  </r>
  <r>
    <x v="0"/>
    <x v="53"/>
    <x v="53"/>
    <x v="7"/>
    <x v="7"/>
    <x v="7"/>
    <x v="5"/>
    <x v="209"/>
    <x v="529"/>
    <x v="116"/>
    <x v="608"/>
    <x v="64"/>
    <x v="522"/>
    <x v="5"/>
  </r>
  <r>
    <x v="0"/>
    <x v="53"/>
    <x v="53"/>
    <x v="6"/>
    <x v="6"/>
    <x v="6"/>
    <x v="6"/>
    <x v="115"/>
    <x v="530"/>
    <x v="66"/>
    <x v="609"/>
    <x v="81"/>
    <x v="42"/>
    <x v="8"/>
  </r>
  <r>
    <x v="0"/>
    <x v="53"/>
    <x v="53"/>
    <x v="10"/>
    <x v="10"/>
    <x v="10"/>
    <x v="7"/>
    <x v="55"/>
    <x v="46"/>
    <x v="81"/>
    <x v="288"/>
    <x v="54"/>
    <x v="523"/>
    <x v="8"/>
  </r>
  <r>
    <x v="0"/>
    <x v="53"/>
    <x v="53"/>
    <x v="8"/>
    <x v="8"/>
    <x v="8"/>
    <x v="8"/>
    <x v="58"/>
    <x v="282"/>
    <x v="78"/>
    <x v="524"/>
    <x v="114"/>
    <x v="323"/>
    <x v="8"/>
  </r>
  <r>
    <x v="0"/>
    <x v="53"/>
    <x v="53"/>
    <x v="32"/>
    <x v="32"/>
    <x v="32"/>
    <x v="9"/>
    <x v="127"/>
    <x v="531"/>
    <x v="75"/>
    <x v="457"/>
    <x v="129"/>
    <x v="236"/>
    <x v="8"/>
  </r>
  <r>
    <x v="0"/>
    <x v="53"/>
    <x v="53"/>
    <x v="9"/>
    <x v="9"/>
    <x v="9"/>
    <x v="10"/>
    <x v="82"/>
    <x v="141"/>
    <x v="54"/>
    <x v="536"/>
    <x v="129"/>
    <x v="236"/>
    <x v="8"/>
  </r>
  <r>
    <x v="0"/>
    <x v="53"/>
    <x v="53"/>
    <x v="19"/>
    <x v="19"/>
    <x v="19"/>
    <x v="11"/>
    <x v="128"/>
    <x v="532"/>
    <x v="56"/>
    <x v="55"/>
    <x v="61"/>
    <x v="153"/>
    <x v="8"/>
  </r>
  <r>
    <x v="0"/>
    <x v="53"/>
    <x v="53"/>
    <x v="11"/>
    <x v="11"/>
    <x v="11"/>
    <x v="12"/>
    <x v="119"/>
    <x v="183"/>
    <x v="54"/>
    <x v="536"/>
    <x v="109"/>
    <x v="524"/>
    <x v="8"/>
  </r>
  <r>
    <x v="0"/>
    <x v="53"/>
    <x v="53"/>
    <x v="13"/>
    <x v="13"/>
    <x v="13"/>
    <x v="12"/>
    <x v="119"/>
    <x v="183"/>
    <x v="51"/>
    <x v="543"/>
    <x v="81"/>
    <x v="42"/>
    <x v="8"/>
  </r>
  <r>
    <x v="0"/>
    <x v="53"/>
    <x v="53"/>
    <x v="12"/>
    <x v="12"/>
    <x v="12"/>
    <x v="14"/>
    <x v="130"/>
    <x v="29"/>
    <x v="120"/>
    <x v="610"/>
    <x v="83"/>
    <x v="525"/>
    <x v="8"/>
  </r>
  <r>
    <x v="0"/>
    <x v="53"/>
    <x v="53"/>
    <x v="34"/>
    <x v="34"/>
    <x v="34"/>
    <x v="15"/>
    <x v="87"/>
    <x v="38"/>
    <x v="67"/>
    <x v="34"/>
    <x v="142"/>
    <x v="263"/>
    <x v="8"/>
  </r>
  <r>
    <x v="0"/>
    <x v="53"/>
    <x v="53"/>
    <x v="4"/>
    <x v="4"/>
    <x v="4"/>
    <x v="16"/>
    <x v="88"/>
    <x v="352"/>
    <x v="77"/>
    <x v="440"/>
    <x v="85"/>
    <x v="176"/>
    <x v="8"/>
  </r>
  <r>
    <x v="0"/>
    <x v="53"/>
    <x v="53"/>
    <x v="29"/>
    <x v="29"/>
    <x v="29"/>
    <x v="17"/>
    <x v="317"/>
    <x v="298"/>
    <x v="70"/>
    <x v="14"/>
    <x v="142"/>
    <x v="263"/>
    <x v="8"/>
  </r>
  <r>
    <x v="0"/>
    <x v="53"/>
    <x v="53"/>
    <x v="14"/>
    <x v="14"/>
    <x v="14"/>
    <x v="17"/>
    <x v="317"/>
    <x v="298"/>
    <x v="105"/>
    <x v="132"/>
    <x v="56"/>
    <x v="482"/>
    <x v="8"/>
  </r>
  <r>
    <x v="0"/>
    <x v="53"/>
    <x v="53"/>
    <x v="28"/>
    <x v="28"/>
    <x v="28"/>
    <x v="19"/>
    <x v="306"/>
    <x v="496"/>
    <x v="70"/>
    <x v="14"/>
    <x v="64"/>
    <x v="522"/>
    <x v="8"/>
  </r>
  <r>
    <x v="0"/>
    <x v="53"/>
    <x v="53"/>
    <x v="18"/>
    <x v="18"/>
    <x v="18"/>
    <x v="19"/>
    <x v="306"/>
    <x v="496"/>
    <x v="83"/>
    <x v="87"/>
    <x v="77"/>
    <x v="398"/>
    <x v="8"/>
  </r>
  <r>
    <x v="0"/>
    <x v="54"/>
    <x v="54"/>
    <x v="1"/>
    <x v="1"/>
    <x v="1"/>
    <x v="0"/>
    <x v="388"/>
    <x v="533"/>
    <x v="294"/>
    <x v="611"/>
    <x v="239"/>
    <x v="526"/>
    <x v="8"/>
  </r>
  <r>
    <x v="0"/>
    <x v="54"/>
    <x v="54"/>
    <x v="0"/>
    <x v="0"/>
    <x v="0"/>
    <x v="1"/>
    <x v="354"/>
    <x v="534"/>
    <x v="253"/>
    <x v="612"/>
    <x v="226"/>
    <x v="527"/>
    <x v="8"/>
  </r>
  <r>
    <x v="0"/>
    <x v="54"/>
    <x v="54"/>
    <x v="2"/>
    <x v="2"/>
    <x v="2"/>
    <x v="2"/>
    <x v="316"/>
    <x v="202"/>
    <x v="151"/>
    <x v="613"/>
    <x v="74"/>
    <x v="522"/>
    <x v="8"/>
  </r>
  <r>
    <x v="0"/>
    <x v="54"/>
    <x v="54"/>
    <x v="5"/>
    <x v="5"/>
    <x v="5"/>
    <x v="3"/>
    <x v="43"/>
    <x v="382"/>
    <x v="134"/>
    <x v="614"/>
    <x v="101"/>
    <x v="528"/>
    <x v="8"/>
  </r>
  <r>
    <x v="0"/>
    <x v="54"/>
    <x v="54"/>
    <x v="3"/>
    <x v="3"/>
    <x v="3"/>
    <x v="4"/>
    <x v="198"/>
    <x v="450"/>
    <x v="72"/>
    <x v="589"/>
    <x v="53"/>
    <x v="443"/>
    <x v="8"/>
  </r>
  <r>
    <x v="0"/>
    <x v="54"/>
    <x v="54"/>
    <x v="7"/>
    <x v="7"/>
    <x v="7"/>
    <x v="5"/>
    <x v="47"/>
    <x v="105"/>
    <x v="62"/>
    <x v="485"/>
    <x v="82"/>
    <x v="74"/>
    <x v="8"/>
  </r>
  <r>
    <x v="0"/>
    <x v="54"/>
    <x v="54"/>
    <x v="10"/>
    <x v="10"/>
    <x v="10"/>
    <x v="6"/>
    <x v="141"/>
    <x v="513"/>
    <x v="155"/>
    <x v="439"/>
    <x v="62"/>
    <x v="529"/>
    <x v="8"/>
  </r>
  <r>
    <x v="0"/>
    <x v="54"/>
    <x v="54"/>
    <x v="8"/>
    <x v="8"/>
    <x v="8"/>
    <x v="7"/>
    <x v="125"/>
    <x v="166"/>
    <x v="72"/>
    <x v="589"/>
    <x v="87"/>
    <x v="114"/>
    <x v="8"/>
  </r>
  <r>
    <x v="0"/>
    <x v="54"/>
    <x v="54"/>
    <x v="9"/>
    <x v="9"/>
    <x v="9"/>
    <x v="8"/>
    <x v="48"/>
    <x v="517"/>
    <x v="69"/>
    <x v="207"/>
    <x v="49"/>
    <x v="530"/>
    <x v="8"/>
  </r>
  <r>
    <x v="0"/>
    <x v="54"/>
    <x v="54"/>
    <x v="6"/>
    <x v="6"/>
    <x v="6"/>
    <x v="9"/>
    <x v="200"/>
    <x v="393"/>
    <x v="107"/>
    <x v="167"/>
    <x v="226"/>
    <x v="527"/>
    <x v="8"/>
  </r>
  <r>
    <x v="0"/>
    <x v="54"/>
    <x v="54"/>
    <x v="11"/>
    <x v="11"/>
    <x v="11"/>
    <x v="10"/>
    <x v="223"/>
    <x v="535"/>
    <x v="51"/>
    <x v="438"/>
    <x v="113"/>
    <x v="131"/>
    <x v="8"/>
  </r>
  <r>
    <x v="0"/>
    <x v="54"/>
    <x v="54"/>
    <x v="13"/>
    <x v="13"/>
    <x v="13"/>
    <x v="11"/>
    <x v="193"/>
    <x v="27"/>
    <x v="66"/>
    <x v="615"/>
    <x v="44"/>
    <x v="108"/>
    <x v="8"/>
  </r>
  <r>
    <x v="0"/>
    <x v="54"/>
    <x v="54"/>
    <x v="4"/>
    <x v="4"/>
    <x v="4"/>
    <x v="12"/>
    <x v="71"/>
    <x v="386"/>
    <x v="57"/>
    <x v="509"/>
    <x v="57"/>
    <x v="531"/>
    <x v="8"/>
  </r>
  <r>
    <x v="0"/>
    <x v="54"/>
    <x v="54"/>
    <x v="19"/>
    <x v="19"/>
    <x v="19"/>
    <x v="13"/>
    <x v="126"/>
    <x v="32"/>
    <x v="68"/>
    <x v="70"/>
    <x v="71"/>
    <x v="455"/>
    <x v="5"/>
  </r>
  <r>
    <x v="0"/>
    <x v="54"/>
    <x v="54"/>
    <x v="14"/>
    <x v="14"/>
    <x v="14"/>
    <x v="14"/>
    <x v="118"/>
    <x v="51"/>
    <x v="54"/>
    <x v="412"/>
    <x v="57"/>
    <x v="531"/>
    <x v="8"/>
  </r>
  <r>
    <x v="0"/>
    <x v="54"/>
    <x v="54"/>
    <x v="29"/>
    <x v="29"/>
    <x v="29"/>
    <x v="15"/>
    <x v="129"/>
    <x v="297"/>
    <x v="67"/>
    <x v="99"/>
    <x v="139"/>
    <x v="274"/>
    <x v="8"/>
  </r>
  <r>
    <x v="0"/>
    <x v="54"/>
    <x v="54"/>
    <x v="15"/>
    <x v="15"/>
    <x v="15"/>
    <x v="16"/>
    <x v="130"/>
    <x v="70"/>
    <x v="50"/>
    <x v="265"/>
    <x v="105"/>
    <x v="106"/>
    <x v="8"/>
  </r>
  <r>
    <x v="0"/>
    <x v="54"/>
    <x v="54"/>
    <x v="18"/>
    <x v="18"/>
    <x v="18"/>
    <x v="17"/>
    <x v="313"/>
    <x v="159"/>
    <x v="46"/>
    <x v="34"/>
    <x v="82"/>
    <x v="74"/>
    <x v="8"/>
  </r>
  <r>
    <x v="0"/>
    <x v="54"/>
    <x v="54"/>
    <x v="17"/>
    <x v="17"/>
    <x v="17"/>
    <x v="17"/>
    <x v="313"/>
    <x v="159"/>
    <x v="55"/>
    <x v="616"/>
    <x v="56"/>
    <x v="308"/>
    <x v="8"/>
  </r>
  <r>
    <x v="0"/>
    <x v="54"/>
    <x v="54"/>
    <x v="32"/>
    <x v="32"/>
    <x v="32"/>
    <x v="17"/>
    <x v="313"/>
    <x v="159"/>
    <x v="100"/>
    <x v="617"/>
    <x v="80"/>
    <x v="119"/>
    <x v="8"/>
  </r>
  <r>
    <x v="0"/>
    <x v="55"/>
    <x v="55"/>
    <x v="0"/>
    <x v="0"/>
    <x v="0"/>
    <x v="0"/>
    <x v="389"/>
    <x v="536"/>
    <x v="295"/>
    <x v="618"/>
    <x v="82"/>
    <x v="35"/>
    <x v="8"/>
  </r>
  <r>
    <x v="0"/>
    <x v="55"/>
    <x v="55"/>
    <x v="1"/>
    <x v="1"/>
    <x v="1"/>
    <x v="1"/>
    <x v="243"/>
    <x v="200"/>
    <x v="147"/>
    <x v="619"/>
    <x v="130"/>
    <x v="532"/>
    <x v="8"/>
  </r>
  <r>
    <x v="0"/>
    <x v="55"/>
    <x v="55"/>
    <x v="2"/>
    <x v="2"/>
    <x v="2"/>
    <x v="2"/>
    <x v="390"/>
    <x v="537"/>
    <x v="282"/>
    <x v="620"/>
    <x v="129"/>
    <x v="249"/>
    <x v="8"/>
  </r>
  <r>
    <x v="0"/>
    <x v="55"/>
    <x v="55"/>
    <x v="3"/>
    <x v="3"/>
    <x v="3"/>
    <x v="3"/>
    <x v="111"/>
    <x v="135"/>
    <x v="260"/>
    <x v="621"/>
    <x v="43"/>
    <x v="268"/>
    <x v="8"/>
  </r>
  <r>
    <x v="0"/>
    <x v="55"/>
    <x v="55"/>
    <x v="10"/>
    <x v="10"/>
    <x v="10"/>
    <x v="4"/>
    <x v="64"/>
    <x v="59"/>
    <x v="57"/>
    <x v="144"/>
    <x v="224"/>
    <x v="533"/>
    <x v="8"/>
  </r>
  <r>
    <x v="0"/>
    <x v="55"/>
    <x v="55"/>
    <x v="9"/>
    <x v="9"/>
    <x v="9"/>
    <x v="5"/>
    <x v="302"/>
    <x v="538"/>
    <x v="80"/>
    <x v="616"/>
    <x v="140"/>
    <x v="534"/>
    <x v="8"/>
  </r>
  <r>
    <x v="0"/>
    <x v="55"/>
    <x v="55"/>
    <x v="5"/>
    <x v="5"/>
    <x v="5"/>
    <x v="6"/>
    <x v="44"/>
    <x v="305"/>
    <x v="69"/>
    <x v="127"/>
    <x v="270"/>
    <x v="154"/>
    <x v="8"/>
  </r>
  <r>
    <x v="0"/>
    <x v="55"/>
    <x v="55"/>
    <x v="6"/>
    <x v="6"/>
    <x v="6"/>
    <x v="7"/>
    <x v="198"/>
    <x v="196"/>
    <x v="44"/>
    <x v="622"/>
    <x v="56"/>
    <x v="162"/>
    <x v="8"/>
  </r>
  <r>
    <x v="0"/>
    <x v="55"/>
    <x v="55"/>
    <x v="11"/>
    <x v="11"/>
    <x v="11"/>
    <x v="8"/>
    <x v="123"/>
    <x v="444"/>
    <x v="66"/>
    <x v="623"/>
    <x v="42"/>
    <x v="535"/>
    <x v="8"/>
  </r>
  <r>
    <x v="0"/>
    <x v="55"/>
    <x v="55"/>
    <x v="7"/>
    <x v="7"/>
    <x v="7"/>
    <x v="9"/>
    <x v="107"/>
    <x v="78"/>
    <x v="231"/>
    <x v="624"/>
    <x v="78"/>
    <x v="354"/>
    <x v="8"/>
  </r>
  <r>
    <x v="0"/>
    <x v="55"/>
    <x v="55"/>
    <x v="13"/>
    <x v="13"/>
    <x v="13"/>
    <x v="10"/>
    <x v="200"/>
    <x v="539"/>
    <x v="116"/>
    <x v="625"/>
    <x v="67"/>
    <x v="237"/>
    <x v="8"/>
  </r>
  <r>
    <x v="0"/>
    <x v="55"/>
    <x v="55"/>
    <x v="14"/>
    <x v="14"/>
    <x v="14"/>
    <x v="11"/>
    <x v="192"/>
    <x v="158"/>
    <x v="80"/>
    <x v="616"/>
    <x v="52"/>
    <x v="262"/>
    <x v="8"/>
  </r>
  <r>
    <x v="0"/>
    <x v="55"/>
    <x v="55"/>
    <x v="19"/>
    <x v="19"/>
    <x v="19"/>
    <x v="12"/>
    <x v="70"/>
    <x v="16"/>
    <x v="68"/>
    <x v="626"/>
    <x v="94"/>
    <x v="126"/>
    <x v="8"/>
  </r>
  <r>
    <x v="0"/>
    <x v="55"/>
    <x v="55"/>
    <x v="8"/>
    <x v="8"/>
    <x v="8"/>
    <x v="13"/>
    <x v="80"/>
    <x v="127"/>
    <x v="154"/>
    <x v="334"/>
    <x v="142"/>
    <x v="536"/>
    <x v="8"/>
  </r>
  <r>
    <x v="0"/>
    <x v="55"/>
    <x v="55"/>
    <x v="29"/>
    <x v="29"/>
    <x v="29"/>
    <x v="14"/>
    <x v="126"/>
    <x v="388"/>
    <x v="65"/>
    <x v="30"/>
    <x v="45"/>
    <x v="191"/>
    <x v="8"/>
  </r>
  <r>
    <x v="0"/>
    <x v="55"/>
    <x v="55"/>
    <x v="31"/>
    <x v="31"/>
    <x v="31"/>
    <x v="15"/>
    <x v="72"/>
    <x v="266"/>
    <x v="148"/>
    <x v="599"/>
    <x v="86"/>
    <x v="537"/>
    <x v="8"/>
  </r>
  <r>
    <x v="0"/>
    <x v="55"/>
    <x v="55"/>
    <x v="12"/>
    <x v="12"/>
    <x v="12"/>
    <x v="16"/>
    <x v="56"/>
    <x v="352"/>
    <x v="148"/>
    <x v="599"/>
    <x v="87"/>
    <x v="415"/>
    <x v="8"/>
  </r>
  <r>
    <x v="0"/>
    <x v="55"/>
    <x v="55"/>
    <x v="32"/>
    <x v="32"/>
    <x v="32"/>
    <x v="17"/>
    <x v="81"/>
    <x v="159"/>
    <x v="100"/>
    <x v="10"/>
    <x v="82"/>
    <x v="35"/>
    <x v="8"/>
  </r>
  <r>
    <x v="0"/>
    <x v="55"/>
    <x v="55"/>
    <x v="15"/>
    <x v="15"/>
    <x v="15"/>
    <x v="18"/>
    <x v="118"/>
    <x v="394"/>
    <x v="67"/>
    <x v="547"/>
    <x v="54"/>
    <x v="123"/>
    <x v="8"/>
  </r>
  <r>
    <x v="0"/>
    <x v="55"/>
    <x v="55"/>
    <x v="34"/>
    <x v="34"/>
    <x v="34"/>
    <x v="19"/>
    <x v="129"/>
    <x v="540"/>
    <x v="77"/>
    <x v="279"/>
    <x v="75"/>
    <x v="250"/>
    <x v="8"/>
  </r>
  <r>
    <x v="0"/>
    <x v="55"/>
    <x v="55"/>
    <x v="28"/>
    <x v="28"/>
    <x v="28"/>
    <x v="19"/>
    <x v="129"/>
    <x v="540"/>
    <x v="46"/>
    <x v="265"/>
    <x v="105"/>
    <x v="7"/>
    <x v="8"/>
  </r>
  <r>
    <x v="0"/>
    <x v="55"/>
    <x v="55"/>
    <x v="4"/>
    <x v="4"/>
    <x v="4"/>
    <x v="19"/>
    <x v="129"/>
    <x v="540"/>
    <x v="104"/>
    <x v="199"/>
    <x v="44"/>
    <x v="202"/>
    <x v="8"/>
  </r>
  <r>
    <x v="0"/>
    <x v="55"/>
    <x v="55"/>
    <x v="26"/>
    <x v="26"/>
    <x v="26"/>
    <x v="19"/>
    <x v="129"/>
    <x v="540"/>
    <x v="109"/>
    <x v="627"/>
    <x v="55"/>
    <x v="183"/>
    <x v="8"/>
  </r>
  <r>
    <x v="0"/>
    <x v="56"/>
    <x v="56"/>
    <x v="1"/>
    <x v="1"/>
    <x v="1"/>
    <x v="0"/>
    <x v="109"/>
    <x v="541"/>
    <x v="78"/>
    <x v="628"/>
    <x v="187"/>
    <x v="538"/>
    <x v="8"/>
  </r>
  <r>
    <x v="0"/>
    <x v="56"/>
    <x v="56"/>
    <x v="0"/>
    <x v="0"/>
    <x v="0"/>
    <x v="1"/>
    <x v="218"/>
    <x v="233"/>
    <x v="296"/>
    <x v="629"/>
    <x v="86"/>
    <x v="54"/>
    <x v="8"/>
  </r>
  <r>
    <x v="0"/>
    <x v="56"/>
    <x v="56"/>
    <x v="2"/>
    <x v="2"/>
    <x v="2"/>
    <x v="2"/>
    <x v="166"/>
    <x v="542"/>
    <x v="246"/>
    <x v="630"/>
    <x v="87"/>
    <x v="60"/>
    <x v="8"/>
  </r>
  <r>
    <x v="0"/>
    <x v="56"/>
    <x v="56"/>
    <x v="9"/>
    <x v="9"/>
    <x v="9"/>
    <x v="3"/>
    <x v="302"/>
    <x v="327"/>
    <x v="155"/>
    <x v="209"/>
    <x v="155"/>
    <x v="539"/>
    <x v="8"/>
  </r>
  <r>
    <x v="0"/>
    <x v="56"/>
    <x v="56"/>
    <x v="10"/>
    <x v="10"/>
    <x v="10"/>
    <x v="4"/>
    <x v="191"/>
    <x v="291"/>
    <x v="148"/>
    <x v="580"/>
    <x v="118"/>
    <x v="540"/>
    <x v="8"/>
  </r>
  <r>
    <x v="0"/>
    <x v="56"/>
    <x v="56"/>
    <x v="5"/>
    <x v="5"/>
    <x v="5"/>
    <x v="5"/>
    <x v="248"/>
    <x v="543"/>
    <x v="104"/>
    <x v="196"/>
    <x v="117"/>
    <x v="541"/>
    <x v="8"/>
  </r>
  <r>
    <x v="0"/>
    <x v="56"/>
    <x v="56"/>
    <x v="11"/>
    <x v="11"/>
    <x v="11"/>
    <x v="6"/>
    <x v="49"/>
    <x v="220"/>
    <x v="69"/>
    <x v="510"/>
    <x v="63"/>
    <x v="542"/>
    <x v="8"/>
  </r>
  <r>
    <x v="0"/>
    <x v="56"/>
    <x v="56"/>
    <x v="3"/>
    <x v="3"/>
    <x v="3"/>
    <x v="7"/>
    <x v="176"/>
    <x v="123"/>
    <x v="66"/>
    <x v="631"/>
    <x v="67"/>
    <x v="278"/>
    <x v="8"/>
  </r>
  <r>
    <x v="0"/>
    <x v="56"/>
    <x v="56"/>
    <x v="13"/>
    <x v="13"/>
    <x v="13"/>
    <x v="8"/>
    <x v="156"/>
    <x v="544"/>
    <x v="19"/>
    <x v="632"/>
    <x v="139"/>
    <x v="424"/>
    <x v="8"/>
  </r>
  <r>
    <x v="0"/>
    <x v="56"/>
    <x v="56"/>
    <x v="29"/>
    <x v="29"/>
    <x v="29"/>
    <x v="9"/>
    <x v="143"/>
    <x v="8"/>
    <x v="69"/>
    <x v="510"/>
    <x v="52"/>
    <x v="543"/>
    <x v="8"/>
  </r>
  <r>
    <x v="0"/>
    <x v="56"/>
    <x v="56"/>
    <x v="31"/>
    <x v="31"/>
    <x v="31"/>
    <x v="10"/>
    <x v="69"/>
    <x v="156"/>
    <x v="138"/>
    <x v="633"/>
    <x v="67"/>
    <x v="278"/>
    <x v="8"/>
  </r>
  <r>
    <x v="0"/>
    <x v="56"/>
    <x v="56"/>
    <x v="6"/>
    <x v="6"/>
    <x v="6"/>
    <x v="11"/>
    <x v="53"/>
    <x v="286"/>
    <x v="116"/>
    <x v="634"/>
    <x v="85"/>
    <x v="544"/>
    <x v="8"/>
  </r>
  <r>
    <x v="0"/>
    <x v="56"/>
    <x v="56"/>
    <x v="8"/>
    <x v="8"/>
    <x v="8"/>
    <x v="12"/>
    <x v="80"/>
    <x v="457"/>
    <x v="148"/>
    <x v="580"/>
    <x v="64"/>
    <x v="104"/>
    <x v="2"/>
  </r>
  <r>
    <x v="0"/>
    <x v="56"/>
    <x v="56"/>
    <x v="18"/>
    <x v="18"/>
    <x v="18"/>
    <x v="13"/>
    <x v="117"/>
    <x v="143"/>
    <x v="109"/>
    <x v="141"/>
    <x v="54"/>
    <x v="88"/>
    <x v="8"/>
  </r>
  <r>
    <x v="0"/>
    <x v="56"/>
    <x v="56"/>
    <x v="34"/>
    <x v="34"/>
    <x v="34"/>
    <x v="14"/>
    <x v="127"/>
    <x v="15"/>
    <x v="76"/>
    <x v="546"/>
    <x v="139"/>
    <x v="424"/>
    <x v="8"/>
  </r>
  <r>
    <x v="0"/>
    <x v="56"/>
    <x v="56"/>
    <x v="16"/>
    <x v="16"/>
    <x v="16"/>
    <x v="15"/>
    <x v="73"/>
    <x v="16"/>
    <x v="105"/>
    <x v="355"/>
    <x v="53"/>
    <x v="37"/>
    <x v="8"/>
  </r>
  <r>
    <x v="0"/>
    <x v="56"/>
    <x v="56"/>
    <x v="7"/>
    <x v="7"/>
    <x v="7"/>
    <x v="16"/>
    <x v="82"/>
    <x v="296"/>
    <x v="198"/>
    <x v="635"/>
    <x v="84"/>
    <x v="373"/>
    <x v="8"/>
  </r>
  <r>
    <x v="0"/>
    <x v="56"/>
    <x v="56"/>
    <x v="14"/>
    <x v="14"/>
    <x v="14"/>
    <x v="17"/>
    <x v="129"/>
    <x v="128"/>
    <x v="105"/>
    <x v="355"/>
    <x v="71"/>
    <x v="186"/>
    <x v="8"/>
  </r>
  <r>
    <x v="0"/>
    <x v="56"/>
    <x v="56"/>
    <x v="46"/>
    <x v="46"/>
    <x v="46"/>
    <x v="18"/>
    <x v="119"/>
    <x v="38"/>
    <x v="52"/>
    <x v="14"/>
    <x v="139"/>
    <x v="424"/>
    <x v="8"/>
  </r>
  <r>
    <x v="0"/>
    <x v="56"/>
    <x v="56"/>
    <x v="4"/>
    <x v="4"/>
    <x v="4"/>
    <x v="19"/>
    <x v="130"/>
    <x v="84"/>
    <x v="55"/>
    <x v="301"/>
    <x v="44"/>
    <x v="273"/>
    <x v="8"/>
  </r>
  <r>
    <x v="0"/>
    <x v="57"/>
    <x v="57"/>
    <x v="2"/>
    <x v="2"/>
    <x v="2"/>
    <x v="0"/>
    <x v="75"/>
    <x v="545"/>
    <x v="297"/>
    <x v="636"/>
    <x v="55"/>
    <x v="126"/>
    <x v="8"/>
  </r>
  <r>
    <x v="0"/>
    <x v="57"/>
    <x v="57"/>
    <x v="0"/>
    <x v="0"/>
    <x v="0"/>
    <x v="1"/>
    <x v="324"/>
    <x v="132"/>
    <x v="135"/>
    <x v="637"/>
    <x v="87"/>
    <x v="348"/>
    <x v="8"/>
  </r>
  <r>
    <x v="0"/>
    <x v="57"/>
    <x v="57"/>
    <x v="1"/>
    <x v="1"/>
    <x v="1"/>
    <x v="2"/>
    <x v="175"/>
    <x v="546"/>
    <x v="154"/>
    <x v="638"/>
    <x v="40"/>
    <x v="390"/>
    <x v="8"/>
  </r>
  <r>
    <x v="0"/>
    <x v="57"/>
    <x v="57"/>
    <x v="8"/>
    <x v="8"/>
    <x v="8"/>
    <x v="3"/>
    <x v="69"/>
    <x v="335"/>
    <x v="187"/>
    <x v="639"/>
    <x v="226"/>
    <x v="493"/>
    <x v="8"/>
  </r>
  <r>
    <x v="0"/>
    <x v="57"/>
    <x v="57"/>
    <x v="5"/>
    <x v="5"/>
    <x v="5"/>
    <x v="4"/>
    <x v="177"/>
    <x v="547"/>
    <x v="75"/>
    <x v="166"/>
    <x v="113"/>
    <x v="545"/>
    <x v="8"/>
  </r>
  <r>
    <x v="0"/>
    <x v="57"/>
    <x v="57"/>
    <x v="9"/>
    <x v="9"/>
    <x v="9"/>
    <x v="5"/>
    <x v="80"/>
    <x v="529"/>
    <x v="83"/>
    <x v="180"/>
    <x v="136"/>
    <x v="546"/>
    <x v="8"/>
  </r>
  <r>
    <x v="0"/>
    <x v="57"/>
    <x v="57"/>
    <x v="3"/>
    <x v="3"/>
    <x v="3"/>
    <x v="5"/>
    <x v="80"/>
    <x v="529"/>
    <x v="138"/>
    <x v="640"/>
    <x v="82"/>
    <x v="204"/>
    <x v="8"/>
  </r>
  <r>
    <x v="0"/>
    <x v="57"/>
    <x v="57"/>
    <x v="6"/>
    <x v="6"/>
    <x v="6"/>
    <x v="7"/>
    <x v="71"/>
    <x v="548"/>
    <x v="66"/>
    <x v="292"/>
    <x v="80"/>
    <x v="25"/>
    <x v="8"/>
  </r>
  <r>
    <x v="0"/>
    <x v="57"/>
    <x v="57"/>
    <x v="7"/>
    <x v="7"/>
    <x v="7"/>
    <x v="8"/>
    <x v="126"/>
    <x v="454"/>
    <x v="48"/>
    <x v="641"/>
    <x v="114"/>
    <x v="233"/>
    <x v="8"/>
  </r>
  <r>
    <x v="0"/>
    <x v="57"/>
    <x v="57"/>
    <x v="13"/>
    <x v="13"/>
    <x v="13"/>
    <x v="9"/>
    <x v="129"/>
    <x v="468"/>
    <x v="155"/>
    <x v="379"/>
    <x v="226"/>
    <x v="493"/>
    <x v="8"/>
  </r>
  <r>
    <x v="0"/>
    <x v="57"/>
    <x v="57"/>
    <x v="4"/>
    <x v="4"/>
    <x v="4"/>
    <x v="10"/>
    <x v="83"/>
    <x v="31"/>
    <x v="77"/>
    <x v="499"/>
    <x v="64"/>
    <x v="177"/>
    <x v="8"/>
  </r>
  <r>
    <x v="0"/>
    <x v="57"/>
    <x v="57"/>
    <x v="10"/>
    <x v="10"/>
    <x v="10"/>
    <x v="11"/>
    <x v="342"/>
    <x v="184"/>
    <x v="54"/>
    <x v="519"/>
    <x v="56"/>
    <x v="431"/>
    <x v="8"/>
  </r>
  <r>
    <x v="0"/>
    <x v="57"/>
    <x v="57"/>
    <x v="12"/>
    <x v="12"/>
    <x v="12"/>
    <x v="12"/>
    <x v="87"/>
    <x v="475"/>
    <x v="81"/>
    <x v="235"/>
    <x v="83"/>
    <x v="104"/>
    <x v="8"/>
  </r>
  <r>
    <x v="0"/>
    <x v="57"/>
    <x v="57"/>
    <x v="14"/>
    <x v="14"/>
    <x v="14"/>
    <x v="13"/>
    <x v="88"/>
    <x v="16"/>
    <x v="83"/>
    <x v="180"/>
    <x v="56"/>
    <x v="431"/>
    <x v="8"/>
  </r>
  <r>
    <x v="0"/>
    <x v="57"/>
    <x v="57"/>
    <x v="32"/>
    <x v="32"/>
    <x v="32"/>
    <x v="13"/>
    <x v="88"/>
    <x v="16"/>
    <x v="76"/>
    <x v="196"/>
    <x v="85"/>
    <x v="193"/>
    <x v="8"/>
  </r>
  <r>
    <x v="0"/>
    <x v="57"/>
    <x v="57"/>
    <x v="31"/>
    <x v="31"/>
    <x v="31"/>
    <x v="15"/>
    <x v="317"/>
    <x v="37"/>
    <x v="77"/>
    <x v="499"/>
    <x v="114"/>
    <x v="233"/>
    <x v="8"/>
  </r>
  <r>
    <x v="0"/>
    <x v="57"/>
    <x v="57"/>
    <x v="17"/>
    <x v="17"/>
    <x v="17"/>
    <x v="16"/>
    <x v="306"/>
    <x v="171"/>
    <x v="70"/>
    <x v="28"/>
    <x v="64"/>
    <x v="177"/>
    <x v="8"/>
  </r>
  <r>
    <x v="0"/>
    <x v="57"/>
    <x v="57"/>
    <x v="15"/>
    <x v="15"/>
    <x v="15"/>
    <x v="17"/>
    <x v="391"/>
    <x v="159"/>
    <x v="105"/>
    <x v="340"/>
    <x v="77"/>
    <x v="397"/>
    <x v="8"/>
  </r>
  <r>
    <x v="0"/>
    <x v="57"/>
    <x v="57"/>
    <x v="18"/>
    <x v="18"/>
    <x v="18"/>
    <x v="18"/>
    <x v="89"/>
    <x v="146"/>
    <x v="82"/>
    <x v="583"/>
    <x v="77"/>
    <x v="397"/>
    <x v="8"/>
  </r>
  <r>
    <x v="0"/>
    <x v="57"/>
    <x v="57"/>
    <x v="16"/>
    <x v="16"/>
    <x v="16"/>
    <x v="19"/>
    <x v="318"/>
    <x v="394"/>
    <x v="83"/>
    <x v="180"/>
    <x v="84"/>
    <x v="63"/>
    <x v="8"/>
  </r>
  <r>
    <x v="0"/>
    <x v="57"/>
    <x v="57"/>
    <x v="26"/>
    <x v="26"/>
    <x v="26"/>
    <x v="19"/>
    <x v="318"/>
    <x v="394"/>
    <x v="70"/>
    <x v="28"/>
    <x v="80"/>
    <x v="25"/>
    <x v="8"/>
  </r>
  <r>
    <x v="0"/>
    <x v="58"/>
    <x v="58"/>
    <x v="1"/>
    <x v="1"/>
    <x v="1"/>
    <x v="0"/>
    <x v="392"/>
    <x v="549"/>
    <x v="195"/>
    <x v="642"/>
    <x v="174"/>
    <x v="547"/>
    <x v="8"/>
  </r>
  <r>
    <x v="0"/>
    <x v="58"/>
    <x v="58"/>
    <x v="0"/>
    <x v="0"/>
    <x v="0"/>
    <x v="1"/>
    <x v="96"/>
    <x v="550"/>
    <x v="298"/>
    <x v="643"/>
    <x v="74"/>
    <x v="232"/>
    <x v="8"/>
  </r>
  <r>
    <x v="0"/>
    <x v="58"/>
    <x v="58"/>
    <x v="2"/>
    <x v="2"/>
    <x v="2"/>
    <x v="2"/>
    <x v="206"/>
    <x v="551"/>
    <x v="172"/>
    <x v="644"/>
    <x v="44"/>
    <x v="482"/>
    <x v="8"/>
  </r>
  <r>
    <x v="0"/>
    <x v="58"/>
    <x v="58"/>
    <x v="3"/>
    <x v="3"/>
    <x v="3"/>
    <x v="3"/>
    <x v="113"/>
    <x v="552"/>
    <x v="86"/>
    <x v="516"/>
    <x v="79"/>
    <x v="439"/>
    <x v="8"/>
  </r>
  <r>
    <x v="0"/>
    <x v="58"/>
    <x v="58"/>
    <x v="5"/>
    <x v="5"/>
    <x v="5"/>
    <x v="4"/>
    <x v="208"/>
    <x v="553"/>
    <x v="57"/>
    <x v="391"/>
    <x v="122"/>
    <x v="548"/>
    <x v="8"/>
  </r>
  <r>
    <x v="0"/>
    <x v="58"/>
    <x v="58"/>
    <x v="7"/>
    <x v="7"/>
    <x v="7"/>
    <x v="5"/>
    <x v="157"/>
    <x v="165"/>
    <x v="235"/>
    <x v="645"/>
    <x v="226"/>
    <x v="248"/>
    <x v="8"/>
  </r>
  <r>
    <x v="0"/>
    <x v="58"/>
    <x v="58"/>
    <x v="6"/>
    <x v="6"/>
    <x v="6"/>
    <x v="6"/>
    <x v="192"/>
    <x v="304"/>
    <x v="73"/>
    <x v="62"/>
    <x v="272"/>
    <x v="377"/>
    <x v="8"/>
  </r>
  <r>
    <x v="0"/>
    <x v="58"/>
    <x v="58"/>
    <x v="8"/>
    <x v="8"/>
    <x v="8"/>
    <x v="7"/>
    <x v="209"/>
    <x v="90"/>
    <x v="126"/>
    <x v="646"/>
    <x v="226"/>
    <x v="248"/>
    <x v="8"/>
  </r>
  <r>
    <x v="0"/>
    <x v="58"/>
    <x v="58"/>
    <x v="12"/>
    <x v="12"/>
    <x v="12"/>
    <x v="8"/>
    <x v="126"/>
    <x v="531"/>
    <x v="51"/>
    <x v="647"/>
    <x v="115"/>
    <x v="100"/>
    <x v="8"/>
  </r>
  <r>
    <x v="0"/>
    <x v="58"/>
    <x v="58"/>
    <x v="9"/>
    <x v="9"/>
    <x v="9"/>
    <x v="9"/>
    <x v="127"/>
    <x v="28"/>
    <x v="76"/>
    <x v="430"/>
    <x v="139"/>
    <x v="330"/>
    <x v="8"/>
  </r>
  <r>
    <x v="0"/>
    <x v="58"/>
    <x v="58"/>
    <x v="13"/>
    <x v="13"/>
    <x v="13"/>
    <x v="10"/>
    <x v="82"/>
    <x v="253"/>
    <x v="57"/>
    <x v="391"/>
    <x v="86"/>
    <x v="476"/>
    <x v="8"/>
  </r>
  <r>
    <x v="0"/>
    <x v="58"/>
    <x v="58"/>
    <x v="14"/>
    <x v="14"/>
    <x v="14"/>
    <x v="11"/>
    <x v="59"/>
    <x v="170"/>
    <x v="76"/>
    <x v="430"/>
    <x v="109"/>
    <x v="549"/>
    <x v="8"/>
  </r>
  <r>
    <x v="0"/>
    <x v="58"/>
    <x v="58"/>
    <x v="10"/>
    <x v="10"/>
    <x v="10"/>
    <x v="12"/>
    <x v="128"/>
    <x v="452"/>
    <x v="55"/>
    <x v="320"/>
    <x v="75"/>
    <x v="96"/>
    <x v="8"/>
  </r>
  <r>
    <x v="0"/>
    <x v="58"/>
    <x v="58"/>
    <x v="4"/>
    <x v="4"/>
    <x v="4"/>
    <x v="12"/>
    <x v="128"/>
    <x v="452"/>
    <x v="69"/>
    <x v="648"/>
    <x v="44"/>
    <x v="482"/>
    <x v="8"/>
  </r>
  <r>
    <x v="0"/>
    <x v="58"/>
    <x v="58"/>
    <x v="11"/>
    <x v="11"/>
    <x v="11"/>
    <x v="14"/>
    <x v="194"/>
    <x v="17"/>
    <x v="76"/>
    <x v="430"/>
    <x v="56"/>
    <x v="106"/>
    <x v="8"/>
  </r>
  <r>
    <x v="0"/>
    <x v="58"/>
    <x v="58"/>
    <x v="32"/>
    <x v="32"/>
    <x v="32"/>
    <x v="15"/>
    <x v="85"/>
    <x v="145"/>
    <x v="77"/>
    <x v="401"/>
    <x v="84"/>
    <x v="166"/>
    <x v="8"/>
  </r>
  <r>
    <x v="0"/>
    <x v="58"/>
    <x v="58"/>
    <x v="34"/>
    <x v="34"/>
    <x v="34"/>
    <x v="16"/>
    <x v="88"/>
    <x v="554"/>
    <x v="54"/>
    <x v="147"/>
    <x v="87"/>
    <x v="378"/>
    <x v="8"/>
  </r>
  <r>
    <x v="0"/>
    <x v="58"/>
    <x v="58"/>
    <x v="15"/>
    <x v="15"/>
    <x v="15"/>
    <x v="16"/>
    <x v="88"/>
    <x v="554"/>
    <x v="82"/>
    <x v="649"/>
    <x v="55"/>
    <x v="531"/>
    <x v="8"/>
  </r>
  <r>
    <x v="0"/>
    <x v="58"/>
    <x v="58"/>
    <x v="19"/>
    <x v="19"/>
    <x v="19"/>
    <x v="18"/>
    <x v="317"/>
    <x v="362"/>
    <x v="68"/>
    <x v="159"/>
    <x v="55"/>
    <x v="531"/>
    <x v="8"/>
  </r>
  <r>
    <x v="0"/>
    <x v="58"/>
    <x v="58"/>
    <x v="36"/>
    <x v="36"/>
    <x v="36"/>
    <x v="19"/>
    <x v="391"/>
    <x v="555"/>
    <x v="50"/>
    <x v="29"/>
    <x v="80"/>
    <x v="492"/>
    <x v="8"/>
  </r>
  <r>
    <x v="0"/>
    <x v="58"/>
    <x v="58"/>
    <x v="18"/>
    <x v="18"/>
    <x v="18"/>
    <x v="19"/>
    <x v="391"/>
    <x v="555"/>
    <x v="82"/>
    <x v="649"/>
    <x v="142"/>
    <x v="424"/>
    <x v="8"/>
  </r>
  <r>
    <x v="0"/>
    <x v="58"/>
    <x v="58"/>
    <x v="16"/>
    <x v="16"/>
    <x v="16"/>
    <x v="19"/>
    <x v="391"/>
    <x v="555"/>
    <x v="52"/>
    <x v="37"/>
    <x v="226"/>
    <x v="248"/>
    <x v="8"/>
  </r>
  <r>
    <x v="0"/>
    <x v="58"/>
    <x v="58"/>
    <x v="26"/>
    <x v="26"/>
    <x v="26"/>
    <x v="19"/>
    <x v="391"/>
    <x v="555"/>
    <x v="46"/>
    <x v="225"/>
    <x v="114"/>
    <x v="60"/>
    <x v="8"/>
  </r>
  <r>
    <x v="0"/>
    <x v="59"/>
    <x v="59"/>
    <x v="1"/>
    <x v="1"/>
    <x v="1"/>
    <x v="0"/>
    <x v="393"/>
    <x v="556"/>
    <x v="299"/>
    <x v="650"/>
    <x v="273"/>
    <x v="550"/>
    <x v="11"/>
  </r>
  <r>
    <x v="0"/>
    <x v="59"/>
    <x v="59"/>
    <x v="0"/>
    <x v="0"/>
    <x v="0"/>
    <x v="1"/>
    <x v="394"/>
    <x v="557"/>
    <x v="300"/>
    <x v="651"/>
    <x v="147"/>
    <x v="84"/>
    <x v="8"/>
  </r>
  <r>
    <x v="0"/>
    <x v="59"/>
    <x v="59"/>
    <x v="11"/>
    <x v="11"/>
    <x v="11"/>
    <x v="2"/>
    <x v="395"/>
    <x v="558"/>
    <x v="256"/>
    <x v="204"/>
    <x v="274"/>
    <x v="551"/>
    <x v="8"/>
  </r>
  <r>
    <x v="0"/>
    <x v="59"/>
    <x v="59"/>
    <x v="2"/>
    <x v="2"/>
    <x v="2"/>
    <x v="3"/>
    <x v="396"/>
    <x v="559"/>
    <x v="301"/>
    <x v="652"/>
    <x v="224"/>
    <x v="166"/>
    <x v="8"/>
  </r>
  <r>
    <x v="0"/>
    <x v="59"/>
    <x v="59"/>
    <x v="3"/>
    <x v="3"/>
    <x v="3"/>
    <x v="4"/>
    <x v="356"/>
    <x v="293"/>
    <x v="302"/>
    <x v="653"/>
    <x v="265"/>
    <x v="148"/>
    <x v="8"/>
  </r>
  <r>
    <x v="0"/>
    <x v="59"/>
    <x v="59"/>
    <x v="29"/>
    <x v="29"/>
    <x v="29"/>
    <x v="5"/>
    <x v="345"/>
    <x v="560"/>
    <x v="140"/>
    <x v="654"/>
    <x v="275"/>
    <x v="220"/>
    <x v="8"/>
  </r>
  <r>
    <x v="0"/>
    <x v="59"/>
    <x v="59"/>
    <x v="5"/>
    <x v="5"/>
    <x v="5"/>
    <x v="6"/>
    <x v="397"/>
    <x v="561"/>
    <x v="294"/>
    <x v="10"/>
    <x v="276"/>
    <x v="234"/>
    <x v="8"/>
  </r>
  <r>
    <x v="0"/>
    <x v="59"/>
    <x v="59"/>
    <x v="10"/>
    <x v="10"/>
    <x v="10"/>
    <x v="7"/>
    <x v="398"/>
    <x v="26"/>
    <x v="217"/>
    <x v="507"/>
    <x v="259"/>
    <x v="552"/>
    <x v="5"/>
  </r>
  <r>
    <x v="0"/>
    <x v="59"/>
    <x v="59"/>
    <x v="9"/>
    <x v="9"/>
    <x v="9"/>
    <x v="8"/>
    <x v="399"/>
    <x v="523"/>
    <x v="117"/>
    <x v="199"/>
    <x v="277"/>
    <x v="553"/>
    <x v="8"/>
  </r>
  <r>
    <x v="0"/>
    <x v="59"/>
    <x v="59"/>
    <x v="7"/>
    <x v="7"/>
    <x v="7"/>
    <x v="9"/>
    <x v="400"/>
    <x v="169"/>
    <x v="303"/>
    <x v="655"/>
    <x v="247"/>
    <x v="80"/>
    <x v="8"/>
  </r>
  <r>
    <x v="0"/>
    <x v="59"/>
    <x v="59"/>
    <x v="6"/>
    <x v="6"/>
    <x v="6"/>
    <x v="10"/>
    <x v="372"/>
    <x v="562"/>
    <x v="250"/>
    <x v="656"/>
    <x v="225"/>
    <x v="537"/>
    <x v="8"/>
  </r>
  <r>
    <x v="0"/>
    <x v="59"/>
    <x v="59"/>
    <x v="34"/>
    <x v="34"/>
    <x v="34"/>
    <x v="11"/>
    <x v="401"/>
    <x v="253"/>
    <x v="253"/>
    <x v="657"/>
    <x v="278"/>
    <x v="206"/>
    <x v="8"/>
  </r>
  <r>
    <x v="0"/>
    <x v="59"/>
    <x v="59"/>
    <x v="8"/>
    <x v="8"/>
    <x v="8"/>
    <x v="12"/>
    <x v="402"/>
    <x v="64"/>
    <x v="304"/>
    <x v="380"/>
    <x v="108"/>
    <x v="136"/>
    <x v="8"/>
  </r>
  <r>
    <x v="0"/>
    <x v="59"/>
    <x v="59"/>
    <x v="16"/>
    <x v="16"/>
    <x v="16"/>
    <x v="13"/>
    <x v="333"/>
    <x v="111"/>
    <x v="134"/>
    <x v="39"/>
    <x v="279"/>
    <x v="554"/>
    <x v="8"/>
  </r>
  <r>
    <x v="0"/>
    <x v="59"/>
    <x v="59"/>
    <x v="13"/>
    <x v="13"/>
    <x v="13"/>
    <x v="14"/>
    <x v="373"/>
    <x v="209"/>
    <x v="71"/>
    <x v="658"/>
    <x v="266"/>
    <x v="478"/>
    <x v="8"/>
  </r>
  <r>
    <x v="0"/>
    <x v="59"/>
    <x v="59"/>
    <x v="15"/>
    <x v="15"/>
    <x v="15"/>
    <x v="15"/>
    <x v="403"/>
    <x v="211"/>
    <x v="74"/>
    <x v="265"/>
    <x v="188"/>
    <x v="232"/>
    <x v="8"/>
  </r>
  <r>
    <x v="0"/>
    <x v="59"/>
    <x v="59"/>
    <x v="4"/>
    <x v="4"/>
    <x v="4"/>
    <x v="16"/>
    <x v="404"/>
    <x v="16"/>
    <x v="281"/>
    <x v="354"/>
    <x v="280"/>
    <x v="69"/>
    <x v="8"/>
  </r>
  <r>
    <x v="0"/>
    <x v="59"/>
    <x v="59"/>
    <x v="12"/>
    <x v="12"/>
    <x v="12"/>
    <x v="17"/>
    <x v="314"/>
    <x v="413"/>
    <x v="164"/>
    <x v="619"/>
    <x v="169"/>
    <x v="24"/>
    <x v="8"/>
  </r>
  <r>
    <x v="0"/>
    <x v="59"/>
    <x v="59"/>
    <x v="18"/>
    <x v="18"/>
    <x v="18"/>
    <x v="18"/>
    <x v="217"/>
    <x v="495"/>
    <x v="235"/>
    <x v="29"/>
    <x v="281"/>
    <x v="97"/>
    <x v="8"/>
  </r>
  <r>
    <x v="0"/>
    <x v="59"/>
    <x v="59"/>
    <x v="22"/>
    <x v="22"/>
    <x v="22"/>
    <x v="19"/>
    <x v="374"/>
    <x v="144"/>
    <x v="226"/>
    <x v="54"/>
    <x v="282"/>
    <x v="228"/>
    <x v="8"/>
  </r>
  <r>
    <x v="0"/>
    <x v="60"/>
    <x v="60"/>
    <x v="1"/>
    <x v="1"/>
    <x v="1"/>
    <x v="0"/>
    <x v="149"/>
    <x v="417"/>
    <x v="63"/>
    <x v="659"/>
    <x v="45"/>
    <x v="555"/>
    <x v="5"/>
  </r>
  <r>
    <x v="0"/>
    <x v="60"/>
    <x v="60"/>
    <x v="2"/>
    <x v="2"/>
    <x v="2"/>
    <x v="1"/>
    <x v="113"/>
    <x v="563"/>
    <x v="97"/>
    <x v="660"/>
    <x v="81"/>
    <x v="378"/>
    <x v="8"/>
  </r>
  <r>
    <x v="0"/>
    <x v="60"/>
    <x v="60"/>
    <x v="0"/>
    <x v="0"/>
    <x v="0"/>
    <x v="2"/>
    <x v="142"/>
    <x v="564"/>
    <x v="90"/>
    <x v="661"/>
    <x v="81"/>
    <x v="378"/>
    <x v="8"/>
  </r>
  <r>
    <x v="0"/>
    <x v="60"/>
    <x v="60"/>
    <x v="3"/>
    <x v="3"/>
    <x v="3"/>
    <x v="3"/>
    <x v="78"/>
    <x v="500"/>
    <x v="74"/>
    <x v="284"/>
    <x v="78"/>
    <x v="556"/>
    <x v="8"/>
  </r>
  <r>
    <x v="0"/>
    <x v="60"/>
    <x v="60"/>
    <x v="5"/>
    <x v="5"/>
    <x v="5"/>
    <x v="4"/>
    <x v="157"/>
    <x v="559"/>
    <x v="49"/>
    <x v="354"/>
    <x v="63"/>
    <x v="557"/>
    <x v="8"/>
  </r>
  <r>
    <x v="0"/>
    <x v="60"/>
    <x v="60"/>
    <x v="7"/>
    <x v="7"/>
    <x v="7"/>
    <x v="5"/>
    <x v="70"/>
    <x v="565"/>
    <x v="74"/>
    <x v="284"/>
    <x v="85"/>
    <x v="116"/>
    <x v="8"/>
  </r>
  <r>
    <x v="0"/>
    <x v="60"/>
    <x v="60"/>
    <x v="23"/>
    <x v="23"/>
    <x v="23"/>
    <x v="6"/>
    <x v="126"/>
    <x v="566"/>
    <x v="120"/>
    <x v="662"/>
    <x v="75"/>
    <x v="558"/>
    <x v="8"/>
  </r>
  <r>
    <x v="0"/>
    <x v="60"/>
    <x v="60"/>
    <x v="8"/>
    <x v="8"/>
    <x v="8"/>
    <x v="7"/>
    <x v="58"/>
    <x v="567"/>
    <x v="102"/>
    <x v="285"/>
    <x v="114"/>
    <x v="273"/>
    <x v="8"/>
  </r>
  <r>
    <x v="0"/>
    <x v="60"/>
    <x v="60"/>
    <x v="13"/>
    <x v="13"/>
    <x v="13"/>
    <x v="8"/>
    <x v="127"/>
    <x v="5"/>
    <x v="79"/>
    <x v="663"/>
    <x v="226"/>
    <x v="46"/>
    <x v="8"/>
  </r>
  <r>
    <x v="0"/>
    <x v="60"/>
    <x v="60"/>
    <x v="9"/>
    <x v="9"/>
    <x v="9"/>
    <x v="9"/>
    <x v="73"/>
    <x v="180"/>
    <x v="46"/>
    <x v="262"/>
    <x v="54"/>
    <x v="559"/>
    <x v="8"/>
  </r>
  <r>
    <x v="0"/>
    <x v="60"/>
    <x v="60"/>
    <x v="6"/>
    <x v="6"/>
    <x v="6"/>
    <x v="10"/>
    <x v="129"/>
    <x v="220"/>
    <x v="148"/>
    <x v="664"/>
    <x v="229"/>
    <x v="560"/>
    <x v="8"/>
  </r>
  <r>
    <x v="0"/>
    <x v="60"/>
    <x v="60"/>
    <x v="10"/>
    <x v="10"/>
    <x v="10"/>
    <x v="11"/>
    <x v="130"/>
    <x v="228"/>
    <x v="81"/>
    <x v="13"/>
    <x v="56"/>
    <x v="296"/>
    <x v="8"/>
  </r>
  <r>
    <x v="0"/>
    <x v="60"/>
    <x v="60"/>
    <x v="19"/>
    <x v="19"/>
    <x v="19"/>
    <x v="12"/>
    <x v="194"/>
    <x v="469"/>
    <x v="56"/>
    <x v="55"/>
    <x v="82"/>
    <x v="523"/>
    <x v="8"/>
  </r>
  <r>
    <x v="0"/>
    <x v="60"/>
    <x v="60"/>
    <x v="12"/>
    <x v="12"/>
    <x v="12"/>
    <x v="13"/>
    <x v="195"/>
    <x v="539"/>
    <x v="67"/>
    <x v="253"/>
    <x v="82"/>
    <x v="523"/>
    <x v="8"/>
  </r>
  <r>
    <x v="0"/>
    <x v="60"/>
    <x v="60"/>
    <x v="11"/>
    <x v="11"/>
    <x v="11"/>
    <x v="14"/>
    <x v="85"/>
    <x v="34"/>
    <x v="65"/>
    <x v="72"/>
    <x v="87"/>
    <x v="134"/>
    <x v="8"/>
  </r>
  <r>
    <x v="0"/>
    <x v="60"/>
    <x v="60"/>
    <x v="32"/>
    <x v="32"/>
    <x v="32"/>
    <x v="15"/>
    <x v="305"/>
    <x v="51"/>
    <x v="65"/>
    <x v="72"/>
    <x v="85"/>
    <x v="116"/>
    <x v="8"/>
  </r>
  <r>
    <x v="0"/>
    <x v="60"/>
    <x v="60"/>
    <x v="17"/>
    <x v="17"/>
    <x v="17"/>
    <x v="16"/>
    <x v="89"/>
    <x v="568"/>
    <x v="50"/>
    <x v="54"/>
    <x v="81"/>
    <x v="378"/>
    <x v="8"/>
  </r>
  <r>
    <x v="0"/>
    <x v="60"/>
    <x v="60"/>
    <x v="25"/>
    <x v="25"/>
    <x v="25"/>
    <x v="17"/>
    <x v="307"/>
    <x v="276"/>
    <x v="56"/>
    <x v="55"/>
    <x v="142"/>
    <x v="239"/>
    <x v="8"/>
  </r>
  <r>
    <x v="0"/>
    <x v="60"/>
    <x v="60"/>
    <x v="18"/>
    <x v="18"/>
    <x v="18"/>
    <x v="18"/>
    <x v="318"/>
    <x v="569"/>
    <x v="52"/>
    <x v="287"/>
    <x v="81"/>
    <x v="378"/>
    <x v="8"/>
  </r>
  <r>
    <x v="0"/>
    <x v="60"/>
    <x v="60"/>
    <x v="4"/>
    <x v="4"/>
    <x v="4"/>
    <x v="19"/>
    <x v="308"/>
    <x v="147"/>
    <x v="46"/>
    <x v="262"/>
    <x v="229"/>
    <x v="560"/>
    <x v="8"/>
  </r>
  <r>
    <x v="0"/>
    <x v="60"/>
    <x v="60"/>
    <x v="47"/>
    <x v="47"/>
    <x v="47"/>
    <x v="19"/>
    <x v="308"/>
    <x v="147"/>
    <x v="46"/>
    <x v="262"/>
    <x v="229"/>
    <x v="560"/>
    <x v="8"/>
  </r>
  <r>
    <x v="0"/>
    <x v="60"/>
    <x v="60"/>
    <x v="31"/>
    <x v="31"/>
    <x v="31"/>
    <x v="19"/>
    <x v="308"/>
    <x v="147"/>
    <x v="46"/>
    <x v="262"/>
    <x v="229"/>
    <x v="560"/>
    <x v="8"/>
  </r>
  <r>
    <x v="0"/>
    <x v="61"/>
    <x v="61"/>
    <x v="1"/>
    <x v="1"/>
    <x v="1"/>
    <x v="0"/>
    <x v="310"/>
    <x v="570"/>
    <x v="305"/>
    <x v="665"/>
    <x v="128"/>
    <x v="561"/>
    <x v="5"/>
  </r>
  <r>
    <x v="0"/>
    <x v="61"/>
    <x v="61"/>
    <x v="0"/>
    <x v="0"/>
    <x v="0"/>
    <x v="1"/>
    <x v="238"/>
    <x v="571"/>
    <x v="239"/>
    <x v="666"/>
    <x v="229"/>
    <x v="562"/>
    <x v="8"/>
  </r>
  <r>
    <x v="0"/>
    <x v="61"/>
    <x v="61"/>
    <x v="2"/>
    <x v="2"/>
    <x v="2"/>
    <x v="2"/>
    <x v="44"/>
    <x v="572"/>
    <x v="165"/>
    <x v="667"/>
    <x v="142"/>
    <x v="68"/>
    <x v="8"/>
  </r>
  <r>
    <x v="0"/>
    <x v="61"/>
    <x v="61"/>
    <x v="5"/>
    <x v="5"/>
    <x v="5"/>
    <x v="3"/>
    <x v="50"/>
    <x v="479"/>
    <x v="75"/>
    <x v="602"/>
    <x v="62"/>
    <x v="364"/>
    <x v="8"/>
  </r>
  <r>
    <x v="0"/>
    <x v="61"/>
    <x v="61"/>
    <x v="3"/>
    <x v="3"/>
    <x v="3"/>
    <x v="4"/>
    <x v="209"/>
    <x v="573"/>
    <x v="102"/>
    <x v="668"/>
    <x v="66"/>
    <x v="495"/>
    <x v="8"/>
  </r>
  <r>
    <x v="0"/>
    <x v="61"/>
    <x v="61"/>
    <x v="8"/>
    <x v="8"/>
    <x v="8"/>
    <x v="5"/>
    <x v="116"/>
    <x v="89"/>
    <x v="102"/>
    <x v="668"/>
    <x v="142"/>
    <x v="68"/>
    <x v="8"/>
  </r>
  <r>
    <x v="0"/>
    <x v="61"/>
    <x v="61"/>
    <x v="10"/>
    <x v="10"/>
    <x v="10"/>
    <x v="6"/>
    <x v="127"/>
    <x v="574"/>
    <x v="77"/>
    <x v="509"/>
    <x v="57"/>
    <x v="319"/>
    <x v="8"/>
  </r>
  <r>
    <x v="0"/>
    <x v="61"/>
    <x v="61"/>
    <x v="7"/>
    <x v="7"/>
    <x v="7"/>
    <x v="7"/>
    <x v="73"/>
    <x v="464"/>
    <x v="120"/>
    <x v="96"/>
    <x v="64"/>
    <x v="32"/>
    <x v="8"/>
  </r>
  <r>
    <x v="0"/>
    <x v="61"/>
    <x v="61"/>
    <x v="9"/>
    <x v="9"/>
    <x v="9"/>
    <x v="8"/>
    <x v="82"/>
    <x v="575"/>
    <x v="46"/>
    <x v="323"/>
    <x v="139"/>
    <x v="142"/>
    <x v="8"/>
  </r>
  <r>
    <x v="0"/>
    <x v="61"/>
    <x v="61"/>
    <x v="12"/>
    <x v="12"/>
    <x v="12"/>
    <x v="9"/>
    <x v="120"/>
    <x v="62"/>
    <x v="76"/>
    <x v="110"/>
    <x v="82"/>
    <x v="284"/>
    <x v="8"/>
  </r>
  <r>
    <x v="0"/>
    <x v="61"/>
    <x v="61"/>
    <x v="6"/>
    <x v="6"/>
    <x v="6"/>
    <x v="10"/>
    <x v="194"/>
    <x v="183"/>
    <x v="53"/>
    <x v="168"/>
    <x v="84"/>
    <x v="406"/>
    <x v="8"/>
  </r>
  <r>
    <x v="0"/>
    <x v="61"/>
    <x v="61"/>
    <x v="13"/>
    <x v="13"/>
    <x v="13"/>
    <x v="11"/>
    <x v="342"/>
    <x v="518"/>
    <x v="109"/>
    <x v="142"/>
    <x v="81"/>
    <x v="563"/>
    <x v="8"/>
  </r>
  <r>
    <x v="0"/>
    <x v="61"/>
    <x v="61"/>
    <x v="4"/>
    <x v="4"/>
    <x v="4"/>
    <x v="12"/>
    <x v="87"/>
    <x v="211"/>
    <x v="65"/>
    <x v="405"/>
    <x v="84"/>
    <x v="406"/>
    <x v="8"/>
  </r>
  <r>
    <x v="0"/>
    <x v="61"/>
    <x v="61"/>
    <x v="19"/>
    <x v="19"/>
    <x v="19"/>
    <x v="13"/>
    <x v="317"/>
    <x v="69"/>
    <x v="56"/>
    <x v="55"/>
    <x v="55"/>
    <x v="564"/>
    <x v="8"/>
  </r>
  <r>
    <x v="0"/>
    <x v="61"/>
    <x v="61"/>
    <x v="14"/>
    <x v="14"/>
    <x v="14"/>
    <x v="14"/>
    <x v="306"/>
    <x v="115"/>
    <x v="50"/>
    <x v="536"/>
    <x v="84"/>
    <x v="406"/>
    <x v="8"/>
  </r>
  <r>
    <x v="0"/>
    <x v="61"/>
    <x v="61"/>
    <x v="20"/>
    <x v="20"/>
    <x v="20"/>
    <x v="14"/>
    <x v="306"/>
    <x v="115"/>
    <x v="82"/>
    <x v="351"/>
    <x v="142"/>
    <x v="68"/>
    <x v="5"/>
  </r>
  <r>
    <x v="0"/>
    <x v="61"/>
    <x v="61"/>
    <x v="11"/>
    <x v="11"/>
    <x v="11"/>
    <x v="16"/>
    <x v="391"/>
    <x v="353"/>
    <x v="52"/>
    <x v="114"/>
    <x v="226"/>
    <x v="332"/>
    <x v="8"/>
  </r>
  <r>
    <x v="0"/>
    <x v="61"/>
    <x v="61"/>
    <x v="16"/>
    <x v="16"/>
    <x v="16"/>
    <x v="16"/>
    <x v="391"/>
    <x v="353"/>
    <x v="56"/>
    <x v="55"/>
    <x v="56"/>
    <x v="499"/>
    <x v="8"/>
  </r>
  <r>
    <x v="0"/>
    <x v="61"/>
    <x v="61"/>
    <x v="32"/>
    <x v="32"/>
    <x v="32"/>
    <x v="16"/>
    <x v="391"/>
    <x v="353"/>
    <x v="54"/>
    <x v="616"/>
    <x v="81"/>
    <x v="563"/>
    <x v="8"/>
  </r>
  <r>
    <x v="0"/>
    <x v="61"/>
    <x v="61"/>
    <x v="17"/>
    <x v="17"/>
    <x v="17"/>
    <x v="19"/>
    <x v="308"/>
    <x v="576"/>
    <x v="67"/>
    <x v="64"/>
    <x v="114"/>
    <x v="363"/>
    <x v="8"/>
  </r>
  <r>
    <x v="0"/>
    <x v="62"/>
    <x v="62"/>
    <x v="2"/>
    <x v="2"/>
    <x v="2"/>
    <x v="0"/>
    <x v="45"/>
    <x v="577"/>
    <x v="165"/>
    <x v="669"/>
    <x v="87"/>
    <x v="348"/>
    <x v="8"/>
  </r>
  <r>
    <x v="0"/>
    <x v="62"/>
    <x v="62"/>
    <x v="0"/>
    <x v="0"/>
    <x v="0"/>
    <x v="1"/>
    <x v="186"/>
    <x v="578"/>
    <x v="119"/>
    <x v="572"/>
    <x v="87"/>
    <x v="348"/>
    <x v="8"/>
  </r>
  <r>
    <x v="0"/>
    <x v="62"/>
    <x v="62"/>
    <x v="1"/>
    <x v="1"/>
    <x v="1"/>
    <x v="2"/>
    <x v="142"/>
    <x v="579"/>
    <x v="100"/>
    <x v="603"/>
    <x v="157"/>
    <x v="565"/>
    <x v="8"/>
  </r>
  <r>
    <x v="0"/>
    <x v="62"/>
    <x v="62"/>
    <x v="8"/>
    <x v="8"/>
    <x v="8"/>
    <x v="3"/>
    <x v="124"/>
    <x v="580"/>
    <x v="73"/>
    <x v="670"/>
    <x v="55"/>
    <x v="126"/>
    <x v="8"/>
  </r>
  <r>
    <x v="0"/>
    <x v="62"/>
    <x v="62"/>
    <x v="5"/>
    <x v="5"/>
    <x v="5"/>
    <x v="4"/>
    <x v="223"/>
    <x v="581"/>
    <x v="104"/>
    <x v="671"/>
    <x v="42"/>
    <x v="566"/>
    <x v="8"/>
  </r>
  <r>
    <x v="0"/>
    <x v="62"/>
    <x v="62"/>
    <x v="3"/>
    <x v="3"/>
    <x v="3"/>
    <x v="5"/>
    <x v="209"/>
    <x v="573"/>
    <x v="134"/>
    <x v="78"/>
    <x v="78"/>
    <x v="281"/>
    <x v="8"/>
  </r>
  <r>
    <x v="0"/>
    <x v="62"/>
    <x v="62"/>
    <x v="6"/>
    <x v="6"/>
    <x v="6"/>
    <x v="6"/>
    <x v="177"/>
    <x v="491"/>
    <x v="86"/>
    <x v="672"/>
    <x v="272"/>
    <x v="567"/>
    <x v="8"/>
  </r>
  <r>
    <x v="0"/>
    <x v="62"/>
    <x v="62"/>
    <x v="10"/>
    <x v="10"/>
    <x v="10"/>
    <x v="7"/>
    <x v="126"/>
    <x v="582"/>
    <x v="155"/>
    <x v="673"/>
    <x v="105"/>
    <x v="568"/>
    <x v="8"/>
  </r>
  <r>
    <x v="0"/>
    <x v="62"/>
    <x v="62"/>
    <x v="9"/>
    <x v="9"/>
    <x v="9"/>
    <x v="8"/>
    <x v="72"/>
    <x v="193"/>
    <x v="46"/>
    <x v="597"/>
    <x v="45"/>
    <x v="569"/>
    <x v="8"/>
  </r>
  <r>
    <x v="0"/>
    <x v="62"/>
    <x v="62"/>
    <x v="13"/>
    <x v="13"/>
    <x v="13"/>
    <x v="9"/>
    <x v="82"/>
    <x v="575"/>
    <x v="115"/>
    <x v="674"/>
    <x v="77"/>
    <x v="397"/>
    <x v="8"/>
  </r>
  <r>
    <x v="0"/>
    <x v="62"/>
    <x v="62"/>
    <x v="7"/>
    <x v="7"/>
    <x v="7"/>
    <x v="10"/>
    <x v="128"/>
    <x v="263"/>
    <x v="102"/>
    <x v="368"/>
    <x v="83"/>
    <x v="104"/>
    <x v="8"/>
  </r>
  <r>
    <x v="0"/>
    <x v="62"/>
    <x v="62"/>
    <x v="4"/>
    <x v="4"/>
    <x v="4"/>
    <x v="11"/>
    <x v="130"/>
    <x v="124"/>
    <x v="109"/>
    <x v="494"/>
    <x v="86"/>
    <x v="15"/>
    <x v="8"/>
  </r>
  <r>
    <x v="0"/>
    <x v="62"/>
    <x v="62"/>
    <x v="17"/>
    <x v="17"/>
    <x v="17"/>
    <x v="12"/>
    <x v="131"/>
    <x v="156"/>
    <x v="53"/>
    <x v="675"/>
    <x v="226"/>
    <x v="493"/>
    <x v="8"/>
  </r>
  <r>
    <x v="0"/>
    <x v="62"/>
    <x v="62"/>
    <x v="14"/>
    <x v="14"/>
    <x v="14"/>
    <x v="13"/>
    <x v="88"/>
    <x v="98"/>
    <x v="82"/>
    <x v="299"/>
    <x v="55"/>
    <x v="126"/>
    <x v="8"/>
  </r>
  <r>
    <x v="0"/>
    <x v="62"/>
    <x v="62"/>
    <x v="12"/>
    <x v="12"/>
    <x v="12"/>
    <x v="14"/>
    <x v="317"/>
    <x v="495"/>
    <x v="76"/>
    <x v="676"/>
    <x v="85"/>
    <x v="193"/>
    <x v="8"/>
  </r>
  <r>
    <x v="0"/>
    <x v="62"/>
    <x v="62"/>
    <x v="19"/>
    <x v="19"/>
    <x v="19"/>
    <x v="15"/>
    <x v="306"/>
    <x v="115"/>
    <x v="56"/>
    <x v="55"/>
    <x v="44"/>
    <x v="216"/>
    <x v="8"/>
  </r>
  <r>
    <x v="0"/>
    <x v="62"/>
    <x v="62"/>
    <x v="31"/>
    <x v="31"/>
    <x v="31"/>
    <x v="16"/>
    <x v="307"/>
    <x v="496"/>
    <x v="65"/>
    <x v="272"/>
    <x v="228"/>
    <x v="570"/>
    <x v="8"/>
  </r>
  <r>
    <x v="0"/>
    <x v="62"/>
    <x v="62"/>
    <x v="29"/>
    <x v="29"/>
    <x v="29"/>
    <x v="17"/>
    <x v="318"/>
    <x v="422"/>
    <x v="105"/>
    <x v="32"/>
    <x v="226"/>
    <x v="493"/>
    <x v="8"/>
  </r>
  <r>
    <x v="0"/>
    <x v="62"/>
    <x v="62"/>
    <x v="32"/>
    <x v="32"/>
    <x v="32"/>
    <x v="17"/>
    <x v="318"/>
    <x v="422"/>
    <x v="50"/>
    <x v="496"/>
    <x v="114"/>
    <x v="233"/>
    <x v="8"/>
  </r>
  <r>
    <x v="0"/>
    <x v="62"/>
    <x v="62"/>
    <x v="37"/>
    <x v="37"/>
    <x v="37"/>
    <x v="19"/>
    <x v="308"/>
    <x v="576"/>
    <x v="82"/>
    <x v="299"/>
    <x v="226"/>
    <x v="493"/>
    <x v="8"/>
  </r>
  <r>
    <x v="0"/>
    <x v="63"/>
    <x v="63"/>
    <x v="1"/>
    <x v="1"/>
    <x v="1"/>
    <x v="0"/>
    <x v="311"/>
    <x v="583"/>
    <x v="124"/>
    <x v="677"/>
    <x v="118"/>
    <x v="571"/>
    <x v="8"/>
  </r>
  <r>
    <x v="0"/>
    <x v="63"/>
    <x v="63"/>
    <x v="2"/>
    <x v="2"/>
    <x v="2"/>
    <x v="1"/>
    <x v="147"/>
    <x v="584"/>
    <x v="226"/>
    <x v="678"/>
    <x v="105"/>
    <x v="449"/>
    <x v="8"/>
  </r>
  <r>
    <x v="0"/>
    <x v="63"/>
    <x v="63"/>
    <x v="0"/>
    <x v="0"/>
    <x v="0"/>
    <x v="2"/>
    <x v="66"/>
    <x v="526"/>
    <x v="161"/>
    <x v="679"/>
    <x v="114"/>
    <x v="163"/>
    <x v="8"/>
  </r>
  <r>
    <x v="0"/>
    <x v="63"/>
    <x v="63"/>
    <x v="5"/>
    <x v="5"/>
    <x v="5"/>
    <x v="3"/>
    <x v="51"/>
    <x v="585"/>
    <x v="81"/>
    <x v="680"/>
    <x v="123"/>
    <x v="572"/>
    <x v="8"/>
  </r>
  <r>
    <x v="0"/>
    <x v="63"/>
    <x v="63"/>
    <x v="3"/>
    <x v="3"/>
    <x v="3"/>
    <x v="4"/>
    <x v="52"/>
    <x v="280"/>
    <x v="200"/>
    <x v="681"/>
    <x v="115"/>
    <x v="145"/>
    <x v="8"/>
  </r>
  <r>
    <x v="0"/>
    <x v="63"/>
    <x v="63"/>
    <x v="8"/>
    <x v="8"/>
    <x v="8"/>
    <x v="5"/>
    <x v="69"/>
    <x v="586"/>
    <x v="48"/>
    <x v="682"/>
    <x v="87"/>
    <x v="252"/>
    <x v="8"/>
  </r>
  <r>
    <x v="0"/>
    <x v="63"/>
    <x v="63"/>
    <x v="6"/>
    <x v="6"/>
    <x v="6"/>
    <x v="6"/>
    <x v="53"/>
    <x v="375"/>
    <x v="47"/>
    <x v="683"/>
    <x v="81"/>
    <x v="261"/>
    <x v="8"/>
  </r>
  <r>
    <x v="0"/>
    <x v="63"/>
    <x v="63"/>
    <x v="13"/>
    <x v="13"/>
    <x v="13"/>
    <x v="7"/>
    <x v="119"/>
    <x v="349"/>
    <x v="80"/>
    <x v="129"/>
    <x v="77"/>
    <x v="242"/>
    <x v="8"/>
  </r>
  <r>
    <x v="0"/>
    <x v="63"/>
    <x v="63"/>
    <x v="9"/>
    <x v="9"/>
    <x v="9"/>
    <x v="8"/>
    <x v="194"/>
    <x v="321"/>
    <x v="50"/>
    <x v="457"/>
    <x v="82"/>
    <x v="48"/>
    <x v="8"/>
  </r>
  <r>
    <x v="0"/>
    <x v="63"/>
    <x v="63"/>
    <x v="10"/>
    <x v="10"/>
    <x v="10"/>
    <x v="9"/>
    <x v="304"/>
    <x v="11"/>
    <x v="70"/>
    <x v="381"/>
    <x v="75"/>
    <x v="281"/>
    <x v="8"/>
  </r>
  <r>
    <x v="0"/>
    <x v="63"/>
    <x v="63"/>
    <x v="7"/>
    <x v="7"/>
    <x v="7"/>
    <x v="10"/>
    <x v="83"/>
    <x v="197"/>
    <x v="81"/>
    <x v="680"/>
    <x v="84"/>
    <x v="181"/>
    <x v="8"/>
  </r>
  <r>
    <x v="0"/>
    <x v="63"/>
    <x v="63"/>
    <x v="4"/>
    <x v="4"/>
    <x v="4"/>
    <x v="11"/>
    <x v="86"/>
    <x v="436"/>
    <x v="65"/>
    <x v="60"/>
    <x v="226"/>
    <x v="88"/>
    <x v="8"/>
  </r>
  <r>
    <x v="0"/>
    <x v="63"/>
    <x v="63"/>
    <x v="17"/>
    <x v="17"/>
    <x v="17"/>
    <x v="12"/>
    <x v="87"/>
    <x v="126"/>
    <x v="54"/>
    <x v="602"/>
    <x v="64"/>
    <x v="191"/>
    <x v="8"/>
  </r>
  <r>
    <x v="0"/>
    <x v="63"/>
    <x v="63"/>
    <x v="19"/>
    <x v="19"/>
    <x v="19"/>
    <x v="12"/>
    <x v="87"/>
    <x v="126"/>
    <x v="56"/>
    <x v="55"/>
    <x v="82"/>
    <x v="48"/>
    <x v="8"/>
  </r>
  <r>
    <x v="0"/>
    <x v="63"/>
    <x v="63"/>
    <x v="11"/>
    <x v="11"/>
    <x v="11"/>
    <x v="14"/>
    <x v="317"/>
    <x v="509"/>
    <x v="50"/>
    <x v="457"/>
    <x v="87"/>
    <x v="252"/>
    <x v="8"/>
  </r>
  <r>
    <x v="0"/>
    <x v="63"/>
    <x v="63"/>
    <x v="15"/>
    <x v="15"/>
    <x v="15"/>
    <x v="14"/>
    <x v="317"/>
    <x v="509"/>
    <x v="83"/>
    <x v="265"/>
    <x v="86"/>
    <x v="573"/>
    <x v="8"/>
  </r>
  <r>
    <x v="0"/>
    <x v="63"/>
    <x v="63"/>
    <x v="12"/>
    <x v="12"/>
    <x v="12"/>
    <x v="14"/>
    <x v="317"/>
    <x v="509"/>
    <x v="55"/>
    <x v="395"/>
    <x v="272"/>
    <x v="481"/>
    <x v="8"/>
  </r>
  <r>
    <x v="0"/>
    <x v="63"/>
    <x v="63"/>
    <x v="14"/>
    <x v="14"/>
    <x v="14"/>
    <x v="17"/>
    <x v="305"/>
    <x v="81"/>
    <x v="105"/>
    <x v="255"/>
    <x v="86"/>
    <x v="573"/>
    <x v="8"/>
  </r>
  <r>
    <x v="0"/>
    <x v="63"/>
    <x v="63"/>
    <x v="31"/>
    <x v="31"/>
    <x v="31"/>
    <x v="18"/>
    <x v="391"/>
    <x v="38"/>
    <x v="49"/>
    <x v="338"/>
    <x v="229"/>
    <x v="574"/>
    <x v="8"/>
  </r>
  <r>
    <x v="0"/>
    <x v="63"/>
    <x v="63"/>
    <x v="37"/>
    <x v="37"/>
    <x v="37"/>
    <x v="19"/>
    <x v="308"/>
    <x v="422"/>
    <x v="82"/>
    <x v="355"/>
    <x v="226"/>
    <x v="88"/>
    <x v="8"/>
  </r>
  <r>
    <x v="0"/>
    <x v="63"/>
    <x v="63"/>
    <x v="32"/>
    <x v="32"/>
    <x v="32"/>
    <x v="19"/>
    <x v="308"/>
    <x v="422"/>
    <x v="67"/>
    <x v="199"/>
    <x v="114"/>
    <x v="163"/>
    <x v="8"/>
  </r>
  <r>
    <x v="0"/>
    <x v="64"/>
    <x v="64"/>
    <x v="2"/>
    <x v="2"/>
    <x v="2"/>
    <x v="0"/>
    <x v="46"/>
    <x v="587"/>
    <x v="161"/>
    <x v="684"/>
    <x v="64"/>
    <x v="173"/>
    <x v="8"/>
  </r>
  <r>
    <x v="0"/>
    <x v="64"/>
    <x v="64"/>
    <x v="3"/>
    <x v="3"/>
    <x v="3"/>
    <x v="1"/>
    <x v="50"/>
    <x v="588"/>
    <x v="48"/>
    <x v="685"/>
    <x v="67"/>
    <x v="253"/>
    <x v="8"/>
  </r>
  <r>
    <x v="0"/>
    <x v="64"/>
    <x v="64"/>
    <x v="1"/>
    <x v="1"/>
    <x v="1"/>
    <x v="1"/>
    <x v="50"/>
    <x v="588"/>
    <x v="122"/>
    <x v="686"/>
    <x v="109"/>
    <x v="575"/>
    <x v="8"/>
  </r>
  <r>
    <x v="0"/>
    <x v="64"/>
    <x v="64"/>
    <x v="5"/>
    <x v="5"/>
    <x v="5"/>
    <x v="3"/>
    <x v="176"/>
    <x v="301"/>
    <x v="81"/>
    <x v="408"/>
    <x v="43"/>
    <x v="576"/>
    <x v="8"/>
  </r>
  <r>
    <x v="0"/>
    <x v="64"/>
    <x v="64"/>
    <x v="0"/>
    <x v="0"/>
    <x v="0"/>
    <x v="3"/>
    <x v="176"/>
    <x v="301"/>
    <x v="45"/>
    <x v="687"/>
    <x v="83"/>
    <x v="151"/>
    <x v="8"/>
  </r>
  <r>
    <x v="0"/>
    <x v="64"/>
    <x v="64"/>
    <x v="7"/>
    <x v="7"/>
    <x v="7"/>
    <x v="5"/>
    <x v="117"/>
    <x v="281"/>
    <x v="147"/>
    <x v="109"/>
    <x v="114"/>
    <x v="354"/>
    <x v="8"/>
  </r>
  <r>
    <x v="0"/>
    <x v="64"/>
    <x v="64"/>
    <x v="8"/>
    <x v="8"/>
    <x v="8"/>
    <x v="6"/>
    <x v="127"/>
    <x v="4"/>
    <x v="127"/>
    <x v="621"/>
    <x v="114"/>
    <x v="354"/>
    <x v="8"/>
  </r>
  <r>
    <x v="0"/>
    <x v="64"/>
    <x v="64"/>
    <x v="6"/>
    <x v="6"/>
    <x v="6"/>
    <x v="6"/>
    <x v="127"/>
    <x v="4"/>
    <x v="200"/>
    <x v="688"/>
    <x v="83"/>
    <x v="151"/>
    <x v="8"/>
  </r>
  <r>
    <x v="0"/>
    <x v="64"/>
    <x v="64"/>
    <x v="9"/>
    <x v="9"/>
    <x v="9"/>
    <x v="8"/>
    <x v="82"/>
    <x v="589"/>
    <x v="76"/>
    <x v="439"/>
    <x v="67"/>
    <x v="253"/>
    <x v="8"/>
  </r>
  <r>
    <x v="0"/>
    <x v="64"/>
    <x v="64"/>
    <x v="10"/>
    <x v="10"/>
    <x v="10"/>
    <x v="9"/>
    <x v="129"/>
    <x v="348"/>
    <x v="55"/>
    <x v="191"/>
    <x v="74"/>
    <x v="358"/>
    <x v="8"/>
  </r>
  <r>
    <x v="0"/>
    <x v="64"/>
    <x v="64"/>
    <x v="13"/>
    <x v="13"/>
    <x v="13"/>
    <x v="10"/>
    <x v="304"/>
    <x v="8"/>
    <x v="57"/>
    <x v="674"/>
    <x v="228"/>
    <x v="280"/>
    <x v="8"/>
  </r>
  <r>
    <x v="0"/>
    <x v="64"/>
    <x v="64"/>
    <x v="4"/>
    <x v="4"/>
    <x v="4"/>
    <x v="11"/>
    <x v="84"/>
    <x v="470"/>
    <x v="49"/>
    <x v="658"/>
    <x v="84"/>
    <x v="531"/>
    <x v="8"/>
  </r>
  <r>
    <x v="0"/>
    <x v="64"/>
    <x v="64"/>
    <x v="23"/>
    <x v="23"/>
    <x v="23"/>
    <x v="12"/>
    <x v="88"/>
    <x v="518"/>
    <x v="55"/>
    <x v="191"/>
    <x v="83"/>
    <x v="151"/>
    <x v="8"/>
  </r>
  <r>
    <x v="0"/>
    <x v="64"/>
    <x v="64"/>
    <x v="17"/>
    <x v="17"/>
    <x v="17"/>
    <x v="12"/>
    <x v="88"/>
    <x v="518"/>
    <x v="46"/>
    <x v="689"/>
    <x v="84"/>
    <x v="531"/>
    <x v="8"/>
  </r>
  <r>
    <x v="0"/>
    <x v="64"/>
    <x v="64"/>
    <x v="32"/>
    <x v="32"/>
    <x v="32"/>
    <x v="14"/>
    <x v="305"/>
    <x v="209"/>
    <x v="46"/>
    <x v="689"/>
    <x v="81"/>
    <x v="307"/>
    <x v="8"/>
  </r>
  <r>
    <x v="0"/>
    <x v="64"/>
    <x v="64"/>
    <x v="31"/>
    <x v="31"/>
    <x v="31"/>
    <x v="15"/>
    <x v="391"/>
    <x v="98"/>
    <x v="77"/>
    <x v="438"/>
    <x v="228"/>
    <x v="280"/>
    <x v="8"/>
  </r>
  <r>
    <x v="0"/>
    <x v="64"/>
    <x v="64"/>
    <x v="12"/>
    <x v="12"/>
    <x v="12"/>
    <x v="16"/>
    <x v="318"/>
    <x v="84"/>
    <x v="50"/>
    <x v="616"/>
    <x v="114"/>
    <x v="354"/>
    <x v="8"/>
  </r>
  <r>
    <x v="0"/>
    <x v="64"/>
    <x v="64"/>
    <x v="19"/>
    <x v="19"/>
    <x v="19"/>
    <x v="16"/>
    <x v="318"/>
    <x v="84"/>
    <x v="56"/>
    <x v="55"/>
    <x v="64"/>
    <x v="173"/>
    <x v="8"/>
  </r>
  <r>
    <x v="0"/>
    <x v="64"/>
    <x v="64"/>
    <x v="47"/>
    <x v="47"/>
    <x v="47"/>
    <x v="18"/>
    <x v="405"/>
    <x v="147"/>
    <x v="67"/>
    <x v="155"/>
    <x v="272"/>
    <x v="577"/>
    <x v="8"/>
  </r>
  <r>
    <x v="0"/>
    <x v="64"/>
    <x v="64"/>
    <x v="24"/>
    <x v="24"/>
    <x v="24"/>
    <x v="19"/>
    <x v="406"/>
    <x v="590"/>
    <x v="82"/>
    <x v="690"/>
    <x v="81"/>
    <x v="307"/>
    <x v="8"/>
  </r>
  <r>
    <x v="0"/>
    <x v="65"/>
    <x v="65"/>
    <x v="2"/>
    <x v="2"/>
    <x v="2"/>
    <x v="0"/>
    <x v="82"/>
    <x v="246"/>
    <x v="138"/>
    <x v="691"/>
    <x v="81"/>
    <x v="256"/>
    <x v="8"/>
  </r>
  <r>
    <x v="0"/>
    <x v="65"/>
    <x v="65"/>
    <x v="8"/>
    <x v="8"/>
    <x v="8"/>
    <x v="1"/>
    <x v="304"/>
    <x v="344"/>
    <x v="80"/>
    <x v="692"/>
    <x v="83"/>
    <x v="133"/>
    <x v="8"/>
  </r>
  <r>
    <x v="0"/>
    <x v="65"/>
    <x v="65"/>
    <x v="5"/>
    <x v="5"/>
    <x v="5"/>
    <x v="2"/>
    <x v="83"/>
    <x v="591"/>
    <x v="82"/>
    <x v="195"/>
    <x v="78"/>
    <x v="578"/>
    <x v="8"/>
  </r>
  <r>
    <x v="0"/>
    <x v="65"/>
    <x v="65"/>
    <x v="1"/>
    <x v="1"/>
    <x v="1"/>
    <x v="2"/>
    <x v="83"/>
    <x v="591"/>
    <x v="50"/>
    <x v="544"/>
    <x v="55"/>
    <x v="579"/>
    <x v="8"/>
  </r>
  <r>
    <x v="0"/>
    <x v="65"/>
    <x v="65"/>
    <x v="0"/>
    <x v="0"/>
    <x v="0"/>
    <x v="4"/>
    <x v="342"/>
    <x v="592"/>
    <x v="100"/>
    <x v="693"/>
    <x v="229"/>
    <x v="580"/>
    <x v="8"/>
  </r>
  <r>
    <x v="0"/>
    <x v="65"/>
    <x v="65"/>
    <x v="3"/>
    <x v="3"/>
    <x v="3"/>
    <x v="5"/>
    <x v="88"/>
    <x v="593"/>
    <x v="77"/>
    <x v="284"/>
    <x v="85"/>
    <x v="581"/>
    <x v="8"/>
  </r>
  <r>
    <x v="0"/>
    <x v="65"/>
    <x v="65"/>
    <x v="7"/>
    <x v="7"/>
    <x v="7"/>
    <x v="6"/>
    <x v="317"/>
    <x v="586"/>
    <x v="77"/>
    <x v="284"/>
    <x v="114"/>
    <x v="388"/>
    <x v="8"/>
  </r>
  <r>
    <x v="0"/>
    <x v="65"/>
    <x v="65"/>
    <x v="6"/>
    <x v="6"/>
    <x v="6"/>
    <x v="7"/>
    <x v="306"/>
    <x v="594"/>
    <x v="77"/>
    <x v="284"/>
    <x v="272"/>
    <x v="212"/>
    <x v="8"/>
  </r>
  <r>
    <x v="0"/>
    <x v="65"/>
    <x v="65"/>
    <x v="9"/>
    <x v="9"/>
    <x v="9"/>
    <x v="8"/>
    <x v="407"/>
    <x v="7"/>
    <x v="105"/>
    <x v="390"/>
    <x v="80"/>
    <x v="582"/>
    <x v="8"/>
  </r>
  <r>
    <x v="0"/>
    <x v="65"/>
    <x v="65"/>
    <x v="17"/>
    <x v="17"/>
    <x v="17"/>
    <x v="9"/>
    <x v="405"/>
    <x v="595"/>
    <x v="83"/>
    <x v="71"/>
    <x v="85"/>
    <x v="581"/>
    <x v="8"/>
  </r>
  <r>
    <x v="0"/>
    <x v="65"/>
    <x v="65"/>
    <x v="19"/>
    <x v="19"/>
    <x v="19"/>
    <x v="10"/>
    <x v="406"/>
    <x v="596"/>
    <x v="68"/>
    <x v="425"/>
    <x v="81"/>
    <x v="256"/>
    <x v="5"/>
  </r>
  <r>
    <x v="0"/>
    <x v="65"/>
    <x v="65"/>
    <x v="13"/>
    <x v="13"/>
    <x v="13"/>
    <x v="11"/>
    <x v="408"/>
    <x v="28"/>
    <x v="52"/>
    <x v="694"/>
    <x v="228"/>
    <x v="403"/>
    <x v="8"/>
  </r>
  <r>
    <x v="0"/>
    <x v="65"/>
    <x v="65"/>
    <x v="10"/>
    <x v="10"/>
    <x v="10"/>
    <x v="12"/>
    <x v="409"/>
    <x v="157"/>
    <x v="105"/>
    <x v="390"/>
    <x v="83"/>
    <x v="133"/>
    <x v="8"/>
  </r>
  <r>
    <x v="0"/>
    <x v="65"/>
    <x v="65"/>
    <x v="4"/>
    <x v="4"/>
    <x v="4"/>
    <x v="13"/>
    <x v="410"/>
    <x v="412"/>
    <x v="105"/>
    <x v="390"/>
    <x v="272"/>
    <x v="212"/>
    <x v="8"/>
  </r>
  <r>
    <x v="0"/>
    <x v="65"/>
    <x v="65"/>
    <x v="12"/>
    <x v="12"/>
    <x v="12"/>
    <x v="14"/>
    <x v="411"/>
    <x v="82"/>
    <x v="70"/>
    <x v="695"/>
    <x v="227"/>
    <x v="583"/>
    <x v="8"/>
  </r>
  <r>
    <x v="0"/>
    <x v="65"/>
    <x v="65"/>
    <x v="32"/>
    <x v="32"/>
    <x v="32"/>
    <x v="14"/>
    <x v="411"/>
    <x v="82"/>
    <x v="83"/>
    <x v="71"/>
    <x v="229"/>
    <x v="580"/>
    <x v="8"/>
  </r>
  <r>
    <x v="0"/>
    <x v="65"/>
    <x v="65"/>
    <x v="27"/>
    <x v="27"/>
    <x v="27"/>
    <x v="16"/>
    <x v="412"/>
    <x v="145"/>
    <x v="56"/>
    <x v="55"/>
    <x v="83"/>
    <x v="133"/>
    <x v="8"/>
  </r>
  <r>
    <x v="0"/>
    <x v="65"/>
    <x v="65"/>
    <x v="14"/>
    <x v="14"/>
    <x v="14"/>
    <x v="16"/>
    <x v="412"/>
    <x v="145"/>
    <x v="105"/>
    <x v="390"/>
    <x v="229"/>
    <x v="580"/>
    <x v="8"/>
  </r>
  <r>
    <x v="0"/>
    <x v="65"/>
    <x v="65"/>
    <x v="20"/>
    <x v="20"/>
    <x v="20"/>
    <x v="16"/>
    <x v="412"/>
    <x v="145"/>
    <x v="68"/>
    <x v="425"/>
    <x v="272"/>
    <x v="212"/>
    <x v="8"/>
  </r>
  <r>
    <x v="0"/>
    <x v="65"/>
    <x v="65"/>
    <x v="24"/>
    <x v="24"/>
    <x v="24"/>
    <x v="19"/>
    <x v="413"/>
    <x v="597"/>
    <x v="68"/>
    <x v="425"/>
    <x v="228"/>
    <x v="403"/>
    <x v="8"/>
  </r>
  <r>
    <x v="0"/>
    <x v="65"/>
    <x v="65"/>
    <x v="18"/>
    <x v="18"/>
    <x v="18"/>
    <x v="19"/>
    <x v="413"/>
    <x v="597"/>
    <x v="68"/>
    <x v="425"/>
    <x v="228"/>
    <x v="403"/>
    <x v="8"/>
  </r>
  <r>
    <x v="0"/>
    <x v="65"/>
    <x v="65"/>
    <x v="15"/>
    <x v="15"/>
    <x v="15"/>
    <x v="19"/>
    <x v="413"/>
    <x v="597"/>
    <x v="56"/>
    <x v="55"/>
    <x v="272"/>
    <x v="212"/>
    <x v="8"/>
  </r>
  <r>
    <x v="0"/>
    <x v="66"/>
    <x v="66"/>
    <x v="5"/>
    <x v="5"/>
    <x v="5"/>
    <x v="0"/>
    <x v="342"/>
    <x v="598"/>
    <x v="50"/>
    <x v="6"/>
    <x v="44"/>
    <x v="584"/>
    <x v="8"/>
  </r>
  <r>
    <x v="0"/>
    <x v="66"/>
    <x v="66"/>
    <x v="2"/>
    <x v="2"/>
    <x v="2"/>
    <x v="1"/>
    <x v="88"/>
    <x v="599"/>
    <x v="104"/>
    <x v="696"/>
    <x v="229"/>
    <x v="261"/>
    <x v="8"/>
  </r>
  <r>
    <x v="0"/>
    <x v="66"/>
    <x v="66"/>
    <x v="0"/>
    <x v="0"/>
    <x v="0"/>
    <x v="2"/>
    <x v="307"/>
    <x v="600"/>
    <x v="76"/>
    <x v="697"/>
    <x v="229"/>
    <x v="261"/>
    <x v="8"/>
  </r>
  <r>
    <x v="0"/>
    <x v="66"/>
    <x v="66"/>
    <x v="9"/>
    <x v="9"/>
    <x v="9"/>
    <x v="3"/>
    <x v="308"/>
    <x v="594"/>
    <x v="52"/>
    <x v="698"/>
    <x v="85"/>
    <x v="585"/>
    <x v="8"/>
  </r>
  <r>
    <x v="0"/>
    <x v="66"/>
    <x v="66"/>
    <x v="17"/>
    <x v="17"/>
    <x v="17"/>
    <x v="4"/>
    <x v="407"/>
    <x v="383"/>
    <x v="67"/>
    <x v="699"/>
    <x v="83"/>
    <x v="586"/>
    <x v="8"/>
  </r>
  <r>
    <x v="0"/>
    <x v="66"/>
    <x v="66"/>
    <x v="8"/>
    <x v="8"/>
    <x v="8"/>
    <x v="4"/>
    <x v="407"/>
    <x v="383"/>
    <x v="83"/>
    <x v="700"/>
    <x v="114"/>
    <x v="587"/>
    <x v="5"/>
  </r>
  <r>
    <x v="0"/>
    <x v="66"/>
    <x v="66"/>
    <x v="10"/>
    <x v="10"/>
    <x v="10"/>
    <x v="6"/>
    <x v="405"/>
    <x v="601"/>
    <x v="52"/>
    <x v="698"/>
    <x v="83"/>
    <x v="586"/>
    <x v="8"/>
  </r>
  <r>
    <x v="0"/>
    <x v="66"/>
    <x v="66"/>
    <x v="6"/>
    <x v="6"/>
    <x v="6"/>
    <x v="6"/>
    <x v="405"/>
    <x v="601"/>
    <x v="54"/>
    <x v="701"/>
    <x v="229"/>
    <x v="261"/>
    <x v="8"/>
  </r>
  <r>
    <x v="0"/>
    <x v="66"/>
    <x v="66"/>
    <x v="7"/>
    <x v="7"/>
    <x v="7"/>
    <x v="8"/>
    <x v="406"/>
    <x v="44"/>
    <x v="50"/>
    <x v="6"/>
    <x v="229"/>
    <x v="261"/>
    <x v="8"/>
  </r>
  <r>
    <x v="0"/>
    <x v="66"/>
    <x v="66"/>
    <x v="4"/>
    <x v="4"/>
    <x v="4"/>
    <x v="8"/>
    <x v="406"/>
    <x v="44"/>
    <x v="82"/>
    <x v="184"/>
    <x v="81"/>
    <x v="588"/>
    <x v="8"/>
  </r>
  <r>
    <x v="0"/>
    <x v="66"/>
    <x v="66"/>
    <x v="16"/>
    <x v="16"/>
    <x v="16"/>
    <x v="10"/>
    <x v="409"/>
    <x v="562"/>
    <x v="68"/>
    <x v="29"/>
    <x v="85"/>
    <x v="585"/>
    <x v="8"/>
  </r>
  <r>
    <x v="0"/>
    <x v="66"/>
    <x v="66"/>
    <x v="13"/>
    <x v="13"/>
    <x v="13"/>
    <x v="10"/>
    <x v="409"/>
    <x v="562"/>
    <x v="67"/>
    <x v="699"/>
    <x v="227"/>
    <x v="280"/>
    <x v="8"/>
  </r>
  <r>
    <x v="0"/>
    <x v="66"/>
    <x v="66"/>
    <x v="3"/>
    <x v="3"/>
    <x v="3"/>
    <x v="10"/>
    <x v="409"/>
    <x v="562"/>
    <x v="52"/>
    <x v="698"/>
    <x v="229"/>
    <x v="261"/>
    <x v="8"/>
  </r>
  <r>
    <x v="0"/>
    <x v="66"/>
    <x v="66"/>
    <x v="14"/>
    <x v="14"/>
    <x v="14"/>
    <x v="13"/>
    <x v="411"/>
    <x v="31"/>
    <x v="82"/>
    <x v="184"/>
    <x v="272"/>
    <x v="275"/>
    <x v="8"/>
  </r>
  <r>
    <x v="0"/>
    <x v="66"/>
    <x v="66"/>
    <x v="32"/>
    <x v="32"/>
    <x v="32"/>
    <x v="13"/>
    <x v="411"/>
    <x v="31"/>
    <x v="83"/>
    <x v="700"/>
    <x v="229"/>
    <x v="261"/>
    <x v="8"/>
  </r>
  <r>
    <x v="0"/>
    <x v="66"/>
    <x v="66"/>
    <x v="15"/>
    <x v="15"/>
    <x v="15"/>
    <x v="15"/>
    <x v="412"/>
    <x v="96"/>
    <x v="82"/>
    <x v="184"/>
    <x v="228"/>
    <x v="186"/>
    <x v="8"/>
  </r>
  <r>
    <x v="0"/>
    <x v="66"/>
    <x v="66"/>
    <x v="12"/>
    <x v="12"/>
    <x v="12"/>
    <x v="15"/>
    <x v="412"/>
    <x v="96"/>
    <x v="105"/>
    <x v="438"/>
    <x v="229"/>
    <x v="261"/>
    <x v="8"/>
  </r>
  <r>
    <x v="0"/>
    <x v="66"/>
    <x v="66"/>
    <x v="20"/>
    <x v="20"/>
    <x v="20"/>
    <x v="15"/>
    <x v="412"/>
    <x v="96"/>
    <x v="68"/>
    <x v="29"/>
    <x v="272"/>
    <x v="275"/>
    <x v="8"/>
  </r>
  <r>
    <x v="0"/>
    <x v="66"/>
    <x v="66"/>
    <x v="44"/>
    <x v="44"/>
    <x v="44"/>
    <x v="18"/>
    <x v="413"/>
    <x v="171"/>
    <x v="82"/>
    <x v="184"/>
    <x v="229"/>
    <x v="261"/>
    <x v="8"/>
  </r>
  <r>
    <x v="0"/>
    <x v="66"/>
    <x v="66"/>
    <x v="40"/>
    <x v="40"/>
    <x v="40"/>
    <x v="18"/>
    <x v="413"/>
    <x v="171"/>
    <x v="68"/>
    <x v="29"/>
    <x v="228"/>
    <x v="186"/>
    <x v="8"/>
  </r>
  <r>
    <x v="0"/>
    <x v="66"/>
    <x v="66"/>
    <x v="37"/>
    <x v="37"/>
    <x v="37"/>
    <x v="18"/>
    <x v="413"/>
    <x v="171"/>
    <x v="56"/>
    <x v="55"/>
    <x v="272"/>
    <x v="275"/>
    <x v="8"/>
  </r>
  <r>
    <x v="0"/>
    <x v="66"/>
    <x v="66"/>
    <x v="1"/>
    <x v="1"/>
    <x v="1"/>
    <x v="18"/>
    <x v="413"/>
    <x v="171"/>
    <x v="82"/>
    <x v="184"/>
    <x v="229"/>
    <x v="261"/>
    <x v="8"/>
  </r>
  <r>
    <x v="0"/>
    <x v="66"/>
    <x v="66"/>
    <x v="19"/>
    <x v="19"/>
    <x v="19"/>
    <x v="18"/>
    <x v="413"/>
    <x v="171"/>
    <x v="56"/>
    <x v="55"/>
    <x v="230"/>
    <x v="400"/>
    <x v="8"/>
  </r>
  <r>
    <x v="0"/>
    <x v="67"/>
    <x v="67"/>
    <x v="5"/>
    <x v="5"/>
    <x v="5"/>
    <x v="0"/>
    <x v="88"/>
    <x v="602"/>
    <x v="54"/>
    <x v="702"/>
    <x v="87"/>
    <x v="589"/>
    <x v="8"/>
  </r>
  <r>
    <x v="0"/>
    <x v="67"/>
    <x v="67"/>
    <x v="3"/>
    <x v="3"/>
    <x v="3"/>
    <x v="1"/>
    <x v="89"/>
    <x v="603"/>
    <x v="65"/>
    <x v="703"/>
    <x v="272"/>
    <x v="590"/>
    <x v="8"/>
  </r>
  <r>
    <x v="0"/>
    <x v="67"/>
    <x v="67"/>
    <x v="0"/>
    <x v="0"/>
    <x v="0"/>
    <x v="2"/>
    <x v="308"/>
    <x v="604"/>
    <x v="46"/>
    <x v="704"/>
    <x v="229"/>
    <x v="482"/>
    <x v="8"/>
  </r>
  <r>
    <x v="0"/>
    <x v="67"/>
    <x v="67"/>
    <x v="7"/>
    <x v="7"/>
    <x v="7"/>
    <x v="3"/>
    <x v="405"/>
    <x v="605"/>
    <x v="54"/>
    <x v="702"/>
    <x v="229"/>
    <x v="482"/>
    <x v="8"/>
  </r>
  <r>
    <x v="0"/>
    <x v="67"/>
    <x v="67"/>
    <x v="2"/>
    <x v="2"/>
    <x v="2"/>
    <x v="4"/>
    <x v="406"/>
    <x v="75"/>
    <x v="75"/>
    <x v="705"/>
    <x v="230"/>
    <x v="400"/>
    <x v="8"/>
  </r>
  <r>
    <x v="0"/>
    <x v="67"/>
    <x v="67"/>
    <x v="10"/>
    <x v="10"/>
    <x v="10"/>
    <x v="5"/>
    <x v="408"/>
    <x v="192"/>
    <x v="70"/>
    <x v="706"/>
    <x v="272"/>
    <x v="590"/>
    <x v="8"/>
  </r>
  <r>
    <x v="0"/>
    <x v="67"/>
    <x v="67"/>
    <x v="9"/>
    <x v="9"/>
    <x v="9"/>
    <x v="5"/>
    <x v="408"/>
    <x v="192"/>
    <x v="52"/>
    <x v="513"/>
    <x v="228"/>
    <x v="549"/>
    <x v="8"/>
  </r>
  <r>
    <x v="0"/>
    <x v="67"/>
    <x v="67"/>
    <x v="18"/>
    <x v="18"/>
    <x v="18"/>
    <x v="7"/>
    <x v="410"/>
    <x v="314"/>
    <x v="82"/>
    <x v="156"/>
    <x v="83"/>
    <x v="303"/>
    <x v="8"/>
  </r>
  <r>
    <x v="0"/>
    <x v="67"/>
    <x v="67"/>
    <x v="13"/>
    <x v="13"/>
    <x v="13"/>
    <x v="7"/>
    <x v="410"/>
    <x v="314"/>
    <x v="70"/>
    <x v="706"/>
    <x v="229"/>
    <x v="482"/>
    <x v="8"/>
  </r>
  <r>
    <x v="0"/>
    <x v="67"/>
    <x v="67"/>
    <x v="43"/>
    <x v="43"/>
    <x v="43"/>
    <x v="9"/>
    <x v="413"/>
    <x v="35"/>
    <x v="83"/>
    <x v="707"/>
    <x v="230"/>
    <x v="400"/>
    <x v="8"/>
  </r>
  <r>
    <x v="0"/>
    <x v="67"/>
    <x v="67"/>
    <x v="11"/>
    <x v="11"/>
    <x v="11"/>
    <x v="9"/>
    <x v="413"/>
    <x v="35"/>
    <x v="82"/>
    <x v="156"/>
    <x v="229"/>
    <x v="482"/>
    <x v="8"/>
  </r>
  <r>
    <x v="0"/>
    <x v="67"/>
    <x v="67"/>
    <x v="19"/>
    <x v="19"/>
    <x v="19"/>
    <x v="9"/>
    <x v="413"/>
    <x v="35"/>
    <x v="68"/>
    <x v="708"/>
    <x v="229"/>
    <x v="482"/>
    <x v="8"/>
  </r>
  <r>
    <x v="0"/>
    <x v="67"/>
    <x v="67"/>
    <x v="31"/>
    <x v="31"/>
    <x v="31"/>
    <x v="9"/>
    <x v="413"/>
    <x v="35"/>
    <x v="83"/>
    <x v="707"/>
    <x v="230"/>
    <x v="400"/>
    <x v="8"/>
  </r>
  <r>
    <x v="0"/>
    <x v="67"/>
    <x v="67"/>
    <x v="23"/>
    <x v="23"/>
    <x v="23"/>
    <x v="13"/>
    <x v="414"/>
    <x v="288"/>
    <x v="68"/>
    <x v="708"/>
    <x v="229"/>
    <x v="482"/>
    <x v="8"/>
  </r>
  <r>
    <x v="0"/>
    <x v="67"/>
    <x v="67"/>
    <x v="44"/>
    <x v="44"/>
    <x v="44"/>
    <x v="13"/>
    <x v="414"/>
    <x v="288"/>
    <x v="68"/>
    <x v="708"/>
    <x v="229"/>
    <x v="482"/>
    <x v="8"/>
  </r>
  <r>
    <x v="0"/>
    <x v="67"/>
    <x v="67"/>
    <x v="34"/>
    <x v="34"/>
    <x v="34"/>
    <x v="13"/>
    <x v="414"/>
    <x v="288"/>
    <x v="105"/>
    <x v="235"/>
    <x v="230"/>
    <x v="400"/>
    <x v="8"/>
  </r>
  <r>
    <x v="0"/>
    <x v="67"/>
    <x v="67"/>
    <x v="48"/>
    <x v="48"/>
    <x v="48"/>
    <x v="13"/>
    <x v="414"/>
    <x v="288"/>
    <x v="56"/>
    <x v="55"/>
    <x v="228"/>
    <x v="549"/>
    <x v="8"/>
  </r>
  <r>
    <x v="0"/>
    <x v="67"/>
    <x v="67"/>
    <x v="1"/>
    <x v="1"/>
    <x v="1"/>
    <x v="13"/>
    <x v="414"/>
    <x v="288"/>
    <x v="68"/>
    <x v="708"/>
    <x v="229"/>
    <x v="482"/>
    <x v="8"/>
  </r>
  <r>
    <x v="0"/>
    <x v="67"/>
    <x v="67"/>
    <x v="49"/>
    <x v="49"/>
    <x v="49"/>
    <x v="13"/>
    <x v="414"/>
    <x v="288"/>
    <x v="68"/>
    <x v="708"/>
    <x v="227"/>
    <x v="492"/>
    <x v="8"/>
  </r>
  <r>
    <x v="0"/>
    <x v="67"/>
    <x v="67"/>
    <x v="20"/>
    <x v="20"/>
    <x v="20"/>
    <x v="13"/>
    <x v="414"/>
    <x v="288"/>
    <x v="56"/>
    <x v="55"/>
    <x v="228"/>
    <x v="549"/>
    <x v="8"/>
  </r>
  <r>
    <x v="0"/>
    <x v="68"/>
    <x v="68"/>
    <x v="23"/>
    <x v="23"/>
    <x v="23"/>
    <x v="0"/>
    <x v="313"/>
    <x v="606"/>
    <x v="55"/>
    <x v="709"/>
    <x v="56"/>
    <x v="591"/>
    <x v="8"/>
  </r>
  <r>
    <x v="0"/>
    <x v="68"/>
    <x v="68"/>
    <x v="0"/>
    <x v="0"/>
    <x v="0"/>
    <x v="0"/>
    <x v="313"/>
    <x v="606"/>
    <x v="79"/>
    <x v="710"/>
    <x v="227"/>
    <x v="421"/>
    <x v="8"/>
  </r>
  <r>
    <x v="0"/>
    <x v="68"/>
    <x v="68"/>
    <x v="2"/>
    <x v="2"/>
    <x v="2"/>
    <x v="2"/>
    <x v="84"/>
    <x v="22"/>
    <x v="58"/>
    <x v="711"/>
    <x v="229"/>
    <x v="42"/>
    <x v="8"/>
  </r>
  <r>
    <x v="0"/>
    <x v="68"/>
    <x v="68"/>
    <x v="3"/>
    <x v="3"/>
    <x v="3"/>
    <x v="3"/>
    <x v="87"/>
    <x v="480"/>
    <x v="55"/>
    <x v="709"/>
    <x v="114"/>
    <x v="443"/>
    <x v="8"/>
  </r>
  <r>
    <x v="0"/>
    <x v="68"/>
    <x v="68"/>
    <x v="1"/>
    <x v="1"/>
    <x v="1"/>
    <x v="4"/>
    <x v="88"/>
    <x v="607"/>
    <x v="82"/>
    <x v="274"/>
    <x v="55"/>
    <x v="592"/>
    <x v="8"/>
  </r>
  <r>
    <x v="0"/>
    <x v="68"/>
    <x v="68"/>
    <x v="6"/>
    <x v="6"/>
    <x v="6"/>
    <x v="5"/>
    <x v="317"/>
    <x v="608"/>
    <x v="49"/>
    <x v="686"/>
    <x v="83"/>
    <x v="141"/>
    <x v="8"/>
  </r>
  <r>
    <x v="0"/>
    <x v="68"/>
    <x v="68"/>
    <x v="5"/>
    <x v="5"/>
    <x v="5"/>
    <x v="6"/>
    <x v="391"/>
    <x v="609"/>
    <x v="105"/>
    <x v="241"/>
    <x v="77"/>
    <x v="593"/>
    <x v="8"/>
  </r>
  <r>
    <x v="0"/>
    <x v="68"/>
    <x v="68"/>
    <x v="9"/>
    <x v="9"/>
    <x v="9"/>
    <x v="6"/>
    <x v="391"/>
    <x v="609"/>
    <x v="82"/>
    <x v="274"/>
    <x v="142"/>
    <x v="594"/>
    <x v="8"/>
  </r>
  <r>
    <x v="0"/>
    <x v="68"/>
    <x v="68"/>
    <x v="7"/>
    <x v="7"/>
    <x v="7"/>
    <x v="6"/>
    <x v="391"/>
    <x v="609"/>
    <x v="49"/>
    <x v="686"/>
    <x v="229"/>
    <x v="42"/>
    <x v="8"/>
  </r>
  <r>
    <x v="0"/>
    <x v="68"/>
    <x v="68"/>
    <x v="13"/>
    <x v="13"/>
    <x v="13"/>
    <x v="9"/>
    <x v="308"/>
    <x v="560"/>
    <x v="54"/>
    <x v="394"/>
    <x v="272"/>
    <x v="186"/>
    <x v="8"/>
  </r>
  <r>
    <x v="0"/>
    <x v="68"/>
    <x v="68"/>
    <x v="31"/>
    <x v="31"/>
    <x v="31"/>
    <x v="10"/>
    <x v="406"/>
    <x v="339"/>
    <x v="67"/>
    <x v="486"/>
    <x v="228"/>
    <x v="298"/>
    <x v="8"/>
  </r>
  <r>
    <x v="0"/>
    <x v="68"/>
    <x v="68"/>
    <x v="12"/>
    <x v="12"/>
    <x v="12"/>
    <x v="11"/>
    <x v="408"/>
    <x v="340"/>
    <x v="50"/>
    <x v="712"/>
    <x v="227"/>
    <x v="421"/>
    <x v="8"/>
  </r>
  <r>
    <x v="0"/>
    <x v="68"/>
    <x v="68"/>
    <x v="8"/>
    <x v="8"/>
    <x v="8"/>
    <x v="12"/>
    <x v="409"/>
    <x v="65"/>
    <x v="105"/>
    <x v="241"/>
    <x v="228"/>
    <x v="298"/>
    <x v="8"/>
  </r>
  <r>
    <x v="0"/>
    <x v="68"/>
    <x v="68"/>
    <x v="10"/>
    <x v="10"/>
    <x v="10"/>
    <x v="13"/>
    <x v="410"/>
    <x v="210"/>
    <x v="82"/>
    <x v="274"/>
    <x v="83"/>
    <x v="141"/>
    <x v="8"/>
  </r>
  <r>
    <x v="0"/>
    <x v="68"/>
    <x v="68"/>
    <x v="16"/>
    <x v="16"/>
    <x v="16"/>
    <x v="13"/>
    <x v="410"/>
    <x v="210"/>
    <x v="82"/>
    <x v="274"/>
    <x v="83"/>
    <x v="141"/>
    <x v="8"/>
  </r>
  <r>
    <x v="0"/>
    <x v="68"/>
    <x v="68"/>
    <x v="18"/>
    <x v="18"/>
    <x v="18"/>
    <x v="15"/>
    <x v="411"/>
    <x v="69"/>
    <x v="68"/>
    <x v="87"/>
    <x v="83"/>
    <x v="141"/>
    <x v="8"/>
  </r>
  <r>
    <x v="0"/>
    <x v="68"/>
    <x v="68"/>
    <x v="29"/>
    <x v="29"/>
    <x v="29"/>
    <x v="16"/>
    <x v="412"/>
    <x v="298"/>
    <x v="56"/>
    <x v="55"/>
    <x v="83"/>
    <x v="141"/>
    <x v="8"/>
  </r>
  <r>
    <x v="0"/>
    <x v="68"/>
    <x v="68"/>
    <x v="14"/>
    <x v="14"/>
    <x v="14"/>
    <x v="16"/>
    <x v="412"/>
    <x v="298"/>
    <x v="82"/>
    <x v="274"/>
    <x v="228"/>
    <x v="298"/>
    <x v="8"/>
  </r>
  <r>
    <x v="0"/>
    <x v="68"/>
    <x v="68"/>
    <x v="4"/>
    <x v="4"/>
    <x v="4"/>
    <x v="16"/>
    <x v="412"/>
    <x v="298"/>
    <x v="105"/>
    <x v="241"/>
    <x v="229"/>
    <x v="42"/>
    <x v="8"/>
  </r>
  <r>
    <x v="0"/>
    <x v="68"/>
    <x v="68"/>
    <x v="32"/>
    <x v="32"/>
    <x v="32"/>
    <x v="16"/>
    <x v="412"/>
    <x v="298"/>
    <x v="83"/>
    <x v="509"/>
    <x v="227"/>
    <x v="421"/>
    <x v="8"/>
  </r>
  <r>
    <x v="0"/>
    <x v="68"/>
    <x v="68"/>
    <x v="19"/>
    <x v="19"/>
    <x v="19"/>
    <x v="16"/>
    <x v="412"/>
    <x v="298"/>
    <x v="56"/>
    <x v="55"/>
    <x v="272"/>
    <x v="186"/>
    <x v="8"/>
  </r>
  <r>
    <x v="0"/>
    <x v="69"/>
    <x v="69"/>
    <x v="1"/>
    <x v="1"/>
    <x v="1"/>
    <x v="0"/>
    <x v="208"/>
    <x v="610"/>
    <x v="48"/>
    <x v="713"/>
    <x v="103"/>
    <x v="595"/>
    <x v="8"/>
  </r>
  <r>
    <x v="0"/>
    <x v="69"/>
    <x v="69"/>
    <x v="2"/>
    <x v="2"/>
    <x v="2"/>
    <x v="1"/>
    <x v="156"/>
    <x v="611"/>
    <x v="225"/>
    <x v="714"/>
    <x v="83"/>
    <x v="378"/>
    <x v="8"/>
  </r>
  <r>
    <x v="0"/>
    <x v="69"/>
    <x v="69"/>
    <x v="0"/>
    <x v="0"/>
    <x v="0"/>
    <x v="2"/>
    <x v="52"/>
    <x v="612"/>
    <x v="235"/>
    <x v="715"/>
    <x v="228"/>
    <x v="527"/>
    <x v="8"/>
  </r>
  <r>
    <x v="0"/>
    <x v="69"/>
    <x v="69"/>
    <x v="5"/>
    <x v="5"/>
    <x v="5"/>
    <x v="3"/>
    <x v="126"/>
    <x v="613"/>
    <x v="81"/>
    <x v="236"/>
    <x v="48"/>
    <x v="596"/>
    <x v="8"/>
  </r>
  <r>
    <x v="0"/>
    <x v="69"/>
    <x v="69"/>
    <x v="8"/>
    <x v="8"/>
    <x v="8"/>
    <x v="4"/>
    <x v="117"/>
    <x v="480"/>
    <x v="208"/>
    <x v="59"/>
    <x v="85"/>
    <x v="440"/>
    <x v="8"/>
  </r>
  <r>
    <x v="0"/>
    <x v="69"/>
    <x v="69"/>
    <x v="23"/>
    <x v="23"/>
    <x v="23"/>
    <x v="5"/>
    <x v="55"/>
    <x v="614"/>
    <x v="79"/>
    <x v="551"/>
    <x v="86"/>
    <x v="597"/>
    <x v="8"/>
  </r>
  <r>
    <x v="0"/>
    <x v="69"/>
    <x v="69"/>
    <x v="3"/>
    <x v="3"/>
    <x v="3"/>
    <x v="6"/>
    <x v="57"/>
    <x v="615"/>
    <x v="103"/>
    <x v="106"/>
    <x v="77"/>
    <x v="21"/>
    <x v="5"/>
  </r>
  <r>
    <x v="0"/>
    <x v="69"/>
    <x v="69"/>
    <x v="7"/>
    <x v="7"/>
    <x v="7"/>
    <x v="7"/>
    <x v="120"/>
    <x v="616"/>
    <x v="198"/>
    <x v="716"/>
    <x v="272"/>
    <x v="480"/>
    <x v="8"/>
  </r>
  <r>
    <x v="0"/>
    <x v="69"/>
    <x v="69"/>
    <x v="9"/>
    <x v="9"/>
    <x v="9"/>
    <x v="8"/>
    <x v="131"/>
    <x v="90"/>
    <x v="76"/>
    <x v="717"/>
    <x v="44"/>
    <x v="459"/>
    <x v="8"/>
  </r>
  <r>
    <x v="0"/>
    <x v="69"/>
    <x v="69"/>
    <x v="10"/>
    <x v="10"/>
    <x v="10"/>
    <x v="9"/>
    <x v="304"/>
    <x v="45"/>
    <x v="65"/>
    <x v="467"/>
    <x v="86"/>
    <x v="597"/>
    <x v="8"/>
  </r>
  <r>
    <x v="0"/>
    <x v="69"/>
    <x v="69"/>
    <x v="6"/>
    <x v="6"/>
    <x v="6"/>
    <x v="10"/>
    <x v="83"/>
    <x v="617"/>
    <x v="109"/>
    <x v="718"/>
    <x v="80"/>
    <x v="467"/>
    <x v="8"/>
  </r>
  <r>
    <x v="0"/>
    <x v="69"/>
    <x v="69"/>
    <x v="13"/>
    <x v="13"/>
    <x v="13"/>
    <x v="11"/>
    <x v="86"/>
    <x v="221"/>
    <x v="53"/>
    <x v="719"/>
    <x v="228"/>
    <x v="527"/>
    <x v="8"/>
  </r>
  <r>
    <x v="0"/>
    <x v="69"/>
    <x v="69"/>
    <x v="19"/>
    <x v="19"/>
    <x v="19"/>
    <x v="12"/>
    <x v="87"/>
    <x v="27"/>
    <x v="56"/>
    <x v="55"/>
    <x v="74"/>
    <x v="598"/>
    <x v="8"/>
  </r>
  <r>
    <x v="0"/>
    <x v="69"/>
    <x v="69"/>
    <x v="4"/>
    <x v="4"/>
    <x v="4"/>
    <x v="13"/>
    <x v="88"/>
    <x v="469"/>
    <x v="76"/>
    <x v="717"/>
    <x v="81"/>
    <x v="599"/>
    <x v="8"/>
  </r>
  <r>
    <x v="0"/>
    <x v="69"/>
    <x v="69"/>
    <x v="12"/>
    <x v="12"/>
    <x v="12"/>
    <x v="14"/>
    <x v="306"/>
    <x v="452"/>
    <x v="76"/>
    <x v="717"/>
    <x v="83"/>
    <x v="378"/>
    <x v="8"/>
  </r>
  <r>
    <x v="0"/>
    <x v="69"/>
    <x v="69"/>
    <x v="32"/>
    <x v="32"/>
    <x v="32"/>
    <x v="15"/>
    <x v="307"/>
    <x v="475"/>
    <x v="75"/>
    <x v="60"/>
    <x v="272"/>
    <x v="480"/>
    <x v="8"/>
  </r>
  <r>
    <x v="0"/>
    <x v="69"/>
    <x v="69"/>
    <x v="14"/>
    <x v="14"/>
    <x v="14"/>
    <x v="16"/>
    <x v="308"/>
    <x v="414"/>
    <x v="82"/>
    <x v="132"/>
    <x v="226"/>
    <x v="41"/>
    <x v="8"/>
  </r>
  <r>
    <x v="0"/>
    <x v="69"/>
    <x v="69"/>
    <x v="31"/>
    <x v="31"/>
    <x v="31"/>
    <x v="17"/>
    <x v="407"/>
    <x v="477"/>
    <x v="46"/>
    <x v="239"/>
    <x v="227"/>
    <x v="600"/>
    <x v="8"/>
  </r>
  <r>
    <x v="0"/>
    <x v="69"/>
    <x v="69"/>
    <x v="17"/>
    <x v="17"/>
    <x v="17"/>
    <x v="18"/>
    <x v="406"/>
    <x v="437"/>
    <x v="52"/>
    <x v="536"/>
    <x v="272"/>
    <x v="480"/>
    <x v="8"/>
  </r>
  <r>
    <x v="0"/>
    <x v="69"/>
    <x v="69"/>
    <x v="11"/>
    <x v="11"/>
    <x v="11"/>
    <x v="19"/>
    <x v="408"/>
    <x v="446"/>
    <x v="105"/>
    <x v="49"/>
    <x v="114"/>
    <x v="423"/>
    <x v="8"/>
  </r>
  <r>
    <x v="0"/>
    <x v="69"/>
    <x v="69"/>
    <x v="15"/>
    <x v="15"/>
    <x v="15"/>
    <x v="19"/>
    <x v="408"/>
    <x v="446"/>
    <x v="68"/>
    <x v="649"/>
    <x v="81"/>
    <x v="599"/>
    <x v="8"/>
  </r>
  <r>
    <x v="0"/>
    <x v="69"/>
    <x v="69"/>
    <x v="26"/>
    <x v="26"/>
    <x v="26"/>
    <x v="19"/>
    <x v="408"/>
    <x v="446"/>
    <x v="52"/>
    <x v="536"/>
    <x v="228"/>
    <x v="527"/>
    <x v="8"/>
  </r>
  <r>
    <x v="0"/>
    <x v="70"/>
    <x v="70"/>
    <x v="3"/>
    <x v="3"/>
    <x v="3"/>
    <x v="0"/>
    <x v="305"/>
    <x v="618"/>
    <x v="65"/>
    <x v="720"/>
    <x v="85"/>
    <x v="601"/>
    <x v="8"/>
  </r>
  <r>
    <x v="0"/>
    <x v="70"/>
    <x v="70"/>
    <x v="1"/>
    <x v="1"/>
    <x v="1"/>
    <x v="0"/>
    <x v="305"/>
    <x v="618"/>
    <x v="109"/>
    <x v="721"/>
    <x v="227"/>
    <x v="248"/>
    <x v="8"/>
  </r>
  <r>
    <x v="0"/>
    <x v="70"/>
    <x v="70"/>
    <x v="2"/>
    <x v="2"/>
    <x v="2"/>
    <x v="2"/>
    <x v="391"/>
    <x v="619"/>
    <x v="81"/>
    <x v="722"/>
    <x v="230"/>
    <x v="400"/>
    <x v="8"/>
  </r>
  <r>
    <x v="0"/>
    <x v="70"/>
    <x v="70"/>
    <x v="7"/>
    <x v="7"/>
    <x v="7"/>
    <x v="3"/>
    <x v="407"/>
    <x v="620"/>
    <x v="54"/>
    <x v="723"/>
    <x v="228"/>
    <x v="602"/>
    <x v="8"/>
  </r>
  <r>
    <x v="0"/>
    <x v="70"/>
    <x v="70"/>
    <x v="50"/>
    <x v="50"/>
    <x v="50"/>
    <x v="4"/>
    <x v="405"/>
    <x v="621"/>
    <x v="56"/>
    <x v="55"/>
    <x v="226"/>
    <x v="603"/>
    <x v="8"/>
  </r>
  <r>
    <x v="0"/>
    <x v="70"/>
    <x v="70"/>
    <x v="0"/>
    <x v="0"/>
    <x v="0"/>
    <x v="4"/>
    <x v="405"/>
    <x v="621"/>
    <x v="67"/>
    <x v="190"/>
    <x v="272"/>
    <x v="604"/>
    <x v="8"/>
  </r>
  <r>
    <x v="0"/>
    <x v="70"/>
    <x v="70"/>
    <x v="8"/>
    <x v="8"/>
    <x v="8"/>
    <x v="6"/>
    <x v="408"/>
    <x v="622"/>
    <x v="54"/>
    <x v="723"/>
    <x v="230"/>
    <x v="400"/>
    <x v="8"/>
  </r>
  <r>
    <x v="0"/>
    <x v="70"/>
    <x v="70"/>
    <x v="5"/>
    <x v="5"/>
    <x v="5"/>
    <x v="7"/>
    <x v="410"/>
    <x v="165"/>
    <x v="105"/>
    <x v="220"/>
    <x v="272"/>
    <x v="604"/>
    <x v="8"/>
  </r>
  <r>
    <x v="0"/>
    <x v="70"/>
    <x v="70"/>
    <x v="9"/>
    <x v="9"/>
    <x v="9"/>
    <x v="7"/>
    <x v="410"/>
    <x v="165"/>
    <x v="82"/>
    <x v="689"/>
    <x v="83"/>
    <x v="605"/>
    <x v="8"/>
  </r>
  <r>
    <x v="0"/>
    <x v="70"/>
    <x v="70"/>
    <x v="6"/>
    <x v="6"/>
    <x v="6"/>
    <x v="7"/>
    <x v="410"/>
    <x v="165"/>
    <x v="52"/>
    <x v="724"/>
    <x v="227"/>
    <x v="248"/>
    <x v="8"/>
  </r>
  <r>
    <x v="0"/>
    <x v="70"/>
    <x v="70"/>
    <x v="10"/>
    <x v="10"/>
    <x v="10"/>
    <x v="10"/>
    <x v="412"/>
    <x v="8"/>
    <x v="83"/>
    <x v="725"/>
    <x v="227"/>
    <x v="248"/>
    <x v="8"/>
  </r>
  <r>
    <x v="0"/>
    <x v="70"/>
    <x v="70"/>
    <x v="13"/>
    <x v="13"/>
    <x v="13"/>
    <x v="11"/>
    <x v="413"/>
    <x v="170"/>
    <x v="105"/>
    <x v="220"/>
    <x v="227"/>
    <x v="248"/>
    <x v="8"/>
  </r>
  <r>
    <x v="0"/>
    <x v="70"/>
    <x v="70"/>
    <x v="28"/>
    <x v="28"/>
    <x v="28"/>
    <x v="12"/>
    <x v="414"/>
    <x v="17"/>
    <x v="68"/>
    <x v="34"/>
    <x v="229"/>
    <x v="50"/>
    <x v="8"/>
  </r>
  <r>
    <x v="0"/>
    <x v="70"/>
    <x v="70"/>
    <x v="15"/>
    <x v="15"/>
    <x v="15"/>
    <x v="12"/>
    <x v="414"/>
    <x v="17"/>
    <x v="56"/>
    <x v="55"/>
    <x v="228"/>
    <x v="602"/>
    <x v="8"/>
  </r>
  <r>
    <x v="0"/>
    <x v="70"/>
    <x v="70"/>
    <x v="23"/>
    <x v="23"/>
    <x v="23"/>
    <x v="14"/>
    <x v="415"/>
    <x v="362"/>
    <x v="68"/>
    <x v="34"/>
    <x v="227"/>
    <x v="248"/>
    <x v="8"/>
  </r>
  <r>
    <x v="0"/>
    <x v="70"/>
    <x v="70"/>
    <x v="11"/>
    <x v="11"/>
    <x v="11"/>
    <x v="14"/>
    <x v="415"/>
    <x v="362"/>
    <x v="68"/>
    <x v="34"/>
    <x v="227"/>
    <x v="248"/>
    <x v="8"/>
  </r>
  <r>
    <x v="0"/>
    <x v="70"/>
    <x v="70"/>
    <x v="25"/>
    <x v="25"/>
    <x v="25"/>
    <x v="14"/>
    <x v="415"/>
    <x v="362"/>
    <x v="56"/>
    <x v="55"/>
    <x v="229"/>
    <x v="50"/>
    <x v="8"/>
  </r>
  <r>
    <x v="0"/>
    <x v="70"/>
    <x v="70"/>
    <x v="12"/>
    <x v="12"/>
    <x v="12"/>
    <x v="14"/>
    <x v="415"/>
    <x v="362"/>
    <x v="68"/>
    <x v="34"/>
    <x v="227"/>
    <x v="248"/>
    <x v="8"/>
  </r>
  <r>
    <x v="0"/>
    <x v="70"/>
    <x v="70"/>
    <x v="17"/>
    <x v="17"/>
    <x v="17"/>
    <x v="14"/>
    <x v="415"/>
    <x v="362"/>
    <x v="68"/>
    <x v="34"/>
    <x v="227"/>
    <x v="248"/>
    <x v="8"/>
  </r>
  <r>
    <x v="0"/>
    <x v="70"/>
    <x v="70"/>
    <x v="32"/>
    <x v="32"/>
    <x v="32"/>
    <x v="14"/>
    <x v="415"/>
    <x v="362"/>
    <x v="68"/>
    <x v="34"/>
    <x v="227"/>
    <x v="248"/>
    <x v="8"/>
  </r>
  <r>
    <x v="0"/>
    <x v="70"/>
    <x v="70"/>
    <x v="45"/>
    <x v="45"/>
    <x v="45"/>
    <x v="14"/>
    <x v="415"/>
    <x v="362"/>
    <x v="82"/>
    <x v="689"/>
    <x v="230"/>
    <x v="400"/>
    <x v="8"/>
  </r>
  <r>
    <x v="0"/>
    <x v="71"/>
    <x v="71"/>
    <x v="5"/>
    <x v="5"/>
    <x v="5"/>
    <x v="0"/>
    <x v="86"/>
    <x v="623"/>
    <x v="50"/>
    <x v="726"/>
    <x v="142"/>
    <x v="606"/>
    <x v="8"/>
  </r>
  <r>
    <x v="0"/>
    <x v="71"/>
    <x v="71"/>
    <x v="3"/>
    <x v="3"/>
    <x v="3"/>
    <x v="0"/>
    <x v="86"/>
    <x v="623"/>
    <x v="49"/>
    <x v="727"/>
    <x v="81"/>
    <x v="607"/>
    <x v="8"/>
  </r>
  <r>
    <x v="0"/>
    <x v="71"/>
    <x v="71"/>
    <x v="0"/>
    <x v="0"/>
    <x v="0"/>
    <x v="0"/>
    <x v="86"/>
    <x v="623"/>
    <x v="58"/>
    <x v="728"/>
    <x v="230"/>
    <x v="400"/>
    <x v="8"/>
  </r>
  <r>
    <x v="0"/>
    <x v="71"/>
    <x v="71"/>
    <x v="7"/>
    <x v="7"/>
    <x v="7"/>
    <x v="3"/>
    <x v="87"/>
    <x v="624"/>
    <x v="81"/>
    <x v="729"/>
    <x v="83"/>
    <x v="608"/>
    <x v="8"/>
  </r>
  <r>
    <x v="0"/>
    <x v="71"/>
    <x v="71"/>
    <x v="1"/>
    <x v="1"/>
    <x v="1"/>
    <x v="4"/>
    <x v="89"/>
    <x v="625"/>
    <x v="46"/>
    <x v="730"/>
    <x v="83"/>
    <x v="608"/>
    <x v="8"/>
  </r>
  <r>
    <x v="0"/>
    <x v="71"/>
    <x v="71"/>
    <x v="2"/>
    <x v="2"/>
    <x v="2"/>
    <x v="5"/>
    <x v="307"/>
    <x v="312"/>
    <x v="77"/>
    <x v="731"/>
    <x v="227"/>
    <x v="176"/>
    <x v="8"/>
  </r>
  <r>
    <x v="0"/>
    <x v="71"/>
    <x v="71"/>
    <x v="9"/>
    <x v="9"/>
    <x v="9"/>
    <x v="6"/>
    <x v="406"/>
    <x v="366"/>
    <x v="56"/>
    <x v="55"/>
    <x v="84"/>
    <x v="609"/>
    <x v="8"/>
  </r>
  <r>
    <x v="0"/>
    <x v="71"/>
    <x v="71"/>
    <x v="6"/>
    <x v="6"/>
    <x v="6"/>
    <x v="7"/>
    <x v="408"/>
    <x v="167"/>
    <x v="67"/>
    <x v="698"/>
    <x v="229"/>
    <x v="17"/>
    <x v="8"/>
  </r>
  <r>
    <x v="0"/>
    <x v="71"/>
    <x v="71"/>
    <x v="13"/>
    <x v="13"/>
    <x v="13"/>
    <x v="8"/>
    <x v="409"/>
    <x v="444"/>
    <x v="52"/>
    <x v="628"/>
    <x v="229"/>
    <x v="17"/>
    <x v="8"/>
  </r>
  <r>
    <x v="0"/>
    <x v="71"/>
    <x v="71"/>
    <x v="17"/>
    <x v="17"/>
    <x v="17"/>
    <x v="9"/>
    <x v="410"/>
    <x v="385"/>
    <x v="82"/>
    <x v="616"/>
    <x v="83"/>
    <x v="608"/>
    <x v="8"/>
  </r>
  <r>
    <x v="0"/>
    <x v="71"/>
    <x v="71"/>
    <x v="47"/>
    <x v="47"/>
    <x v="47"/>
    <x v="9"/>
    <x v="410"/>
    <x v="385"/>
    <x v="105"/>
    <x v="617"/>
    <x v="229"/>
    <x v="17"/>
    <x v="8"/>
  </r>
  <r>
    <x v="0"/>
    <x v="71"/>
    <x v="71"/>
    <x v="8"/>
    <x v="8"/>
    <x v="8"/>
    <x v="9"/>
    <x v="410"/>
    <x v="385"/>
    <x v="52"/>
    <x v="628"/>
    <x v="230"/>
    <x v="400"/>
    <x v="8"/>
  </r>
  <r>
    <x v="0"/>
    <x v="71"/>
    <x v="71"/>
    <x v="16"/>
    <x v="16"/>
    <x v="16"/>
    <x v="12"/>
    <x v="412"/>
    <x v="341"/>
    <x v="68"/>
    <x v="265"/>
    <x v="272"/>
    <x v="610"/>
    <x v="8"/>
  </r>
  <r>
    <x v="0"/>
    <x v="71"/>
    <x v="71"/>
    <x v="39"/>
    <x v="39"/>
    <x v="39"/>
    <x v="12"/>
    <x v="412"/>
    <x v="341"/>
    <x v="83"/>
    <x v="142"/>
    <x v="227"/>
    <x v="176"/>
    <x v="8"/>
  </r>
  <r>
    <x v="0"/>
    <x v="71"/>
    <x v="71"/>
    <x v="31"/>
    <x v="31"/>
    <x v="31"/>
    <x v="12"/>
    <x v="412"/>
    <x v="341"/>
    <x v="83"/>
    <x v="142"/>
    <x v="227"/>
    <x v="176"/>
    <x v="8"/>
  </r>
  <r>
    <x v="0"/>
    <x v="71"/>
    <x v="71"/>
    <x v="10"/>
    <x v="10"/>
    <x v="10"/>
    <x v="15"/>
    <x v="413"/>
    <x v="297"/>
    <x v="68"/>
    <x v="265"/>
    <x v="228"/>
    <x v="50"/>
    <x v="8"/>
  </r>
  <r>
    <x v="0"/>
    <x v="71"/>
    <x v="71"/>
    <x v="23"/>
    <x v="23"/>
    <x v="23"/>
    <x v="15"/>
    <x v="413"/>
    <x v="297"/>
    <x v="105"/>
    <x v="617"/>
    <x v="227"/>
    <x v="176"/>
    <x v="8"/>
  </r>
  <r>
    <x v="0"/>
    <x v="71"/>
    <x v="71"/>
    <x v="32"/>
    <x v="32"/>
    <x v="32"/>
    <x v="15"/>
    <x v="413"/>
    <x v="297"/>
    <x v="105"/>
    <x v="617"/>
    <x v="227"/>
    <x v="176"/>
    <x v="8"/>
  </r>
  <r>
    <x v="0"/>
    <x v="71"/>
    <x v="71"/>
    <x v="11"/>
    <x v="11"/>
    <x v="11"/>
    <x v="18"/>
    <x v="414"/>
    <x v="554"/>
    <x v="68"/>
    <x v="265"/>
    <x v="229"/>
    <x v="17"/>
    <x v="8"/>
  </r>
  <r>
    <x v="0"/>
    <x v="71"/>
    <x v="71"/>
    <x v="24"/>
    <x v="24"/>
    <x v="24"/>
    <x v="18"/>
    <x v="414"/>
    <x v="554"/>
    <x v="56"/>
    <x v="55"/>
    <x v="228"/>
    <x v="50"/>
    <x v="8"/>
  </r>
  <r>
    <x v="0"/>
    <x v="71"/>
    <x v="71"/>
    <x v="18"/>
    <x v="18"/>
    <x v="18"/>
    <x v="18"/>
    <x v="414"/>
    <x v="554"/>
    <x v="68"/>
    <x v="265"/>
    <x v="229"/>
    <x v="17"/>
    <x v="8"/>
  </r>
  <r>
    <x v="0"/>
    <x v="71"/>
    <x v="71"/>
    <x v="12"/>
    <x v="12"/>
    <x v="12"/>
    <x v="18"/>
    <x v="414"/>
    <x v="554"/>
    <x v="82"/>
    <x v="616"/>
    <x v="227"/>
    <x v="176"/>
    <x v="8"/>
  </r>
  <r>
    <x v="0"/>
    <x v="72"/>
    <x v="72"/>
    <x v="1"/>
    <x v="1"/>
    <x v="1"/>
    <x v="0"/>
    <x v="159"/>
    <x v="626"/>
    <x v="155"/>
    <x v="732"/>
    <x v="114"/>
    <x v="529"/>
    <x v="8"/>
  </r>
  <r>
    <x v="0"/>
    <x v="72"/>
    <x v="72"/>
    <x v="5"/>
    <x v="5"/>
    <x v="5"/>
    <x v="1"/>
    <x v="342"/>
    <x v="1"/>
    <x v="50"/>
    <x v="733"/>
    <x v="44"/>
    <x v="611"/>
    <x v="8"/>
  </r>
  <r>
    <x v="0"/>
    <x v="72"/>
    <x v="72"/>
    <x v="10"/>
    <x v="10"/>
    <x v="10"/>
    <x v="2"/>
    <x v="318"/>
    <x v="627"/>
    <x v="83"/>
    <x v="478"/>
    <x v="84"/>
    <x v="612"/>
    <x v="8"/>
  </r>
  <r>
    <x v="0"/>
    <x v="72"/>
    <x v="72"/>
    <x v="2"/>
    <x v="2"/>
    <x v="2"/>
    <x v="2"/>
    <x v="318"/>
    <x v="627"/>
    <x v="76"/>
    <x v="95"/>
    <x v="227"/>
    <x v="613"/>
    <x v="8"/>
  </r>
  <r>
    <x v="0"/>
    <x v="72"/>
    <x v="72"/>
    <x v="0"/>
    <x v="0"/>
    <x v="0"/>
    <x v="4"/>
    <x v="407"/>
    <x v="553"/>
    <x v="65"/>
    <x v="734"/>
    <x v="230"/>
    <x v="400"/>
    <x v="8"/>
  </r>
  <r>
    <x v="0"/>
    <x v="72"/>
    <x v="72"/>
    <x v="8"/>
    <x v="8"/>
    <x v="8"/>
    <x v="5"/>
    <x v="405"/>
    <x v="4"/>
    <x v="54"/>
    <x v="6"/>
    <x v="227"/>
    <x v="613"/>
    <x v="8"/>
  </r>
  <r>
    <x v="0"/>
    <x v="72"/>
    <x v="72"/>
    <x v="11"/>
    <x v="11"/>
    <x v="11"/>
    <x v="6"/>
    <x v="406"/>
    <x v="165"/>
    <x v="70"/>
    <x v="735"/>
    <x v="83"/>
    <x v="614"/>
    <x v="8"/>
  </r>
  <r>
    <x v="0"/>
    <x v="72"/>
    <x v="72"/>
    <x v="6"/>
    <x v="6"/>
    <x v="6"/>
    <x v="6"/>
    <x v="406"/>
    <x v="165"/>
    <x v="54"/>
    <x v="6"/>
    <x v="227"/>
    <x v="613"/>
    <x v="8"/>
  </r>
  <r>
    <x v="0"/>
    <x v="72"/>
    <x v="72"/>
    <x v="9"/>
    <x v="9"/>
    <x v="9"/>
    <x v="8"/>
    <x v="408"/>
    <x v="628"/>
    <x v="82"/>
    <x v="5"/>
    <x v="85"/>
    <x v="615"/>
    <x v="8"/>
  </r>
  <r>
    <x v="0"/>
    <x v="72"/>
    <x v="72"/>
    <x v="3"/>
    <x v="3"/>
    <x v="3"/>
    <x v="8"/>
    <x v="408"/>
    <x v="628"/>
    <x v="67"/>
    <x v="103"/>
    <x v="229"/>
    <x v="278"/>
    <x v="8"/>
  </r>
  <r>
    <x v="0"/>
    <x v="72"/>
    <x v="72"/>
    <x v="7"/>
    <x v="7"/>
    <x v="7"/>
    <x v="10"/>
    <x v="409"/>
    <x v="220"/>
    <x v="52"/>
    <x v="82"/>
    <x v="227"/>
    <x v="613"/>
    <x v="5"/>
  </r>
  <r>
    <x v="0"/>
    <x v="72"/>
    <x v="72"/>
    <x v="15"/>
    <x v="15"/>
    <x v="15"/>
    <x v="11"/>
    <x v="411"/>
    <x v="351"/>
    <x v="56"/>
    <x v="55"/>
    <x v="114"/>
    <x v="529"/>
    <x v="8"/>
  </r>
  <r>
    <x v="0"/>
    <x v="72"/>
    <x v="72"/>
    <x v="31"/>
    <x v="31"/>
    <x v="31"/>
    <x v="11"/>
    <x v="411"/>
    <x v="351"/>
    <x v="83"/>
    <x v="478"/>
    <x v="229"/>
    <x v="278"/>
    <x v="8"/>
  </r>
  <r>
    <x v="0"/>
    <x v="72"/>
    <x v="72"/>
    <x v="23"/>
    <x v="23"/>
    <x v="23"/>
    <x v="13"/>
    <x v="412"/>
    <x v="111"/>
    <x v="83"/>
    <x v="478"/>
    <x v="227"/>
    <x v="613"/>
    <x v="8"/>
  </r>
  <r>
    <x v="0"/>
    <x v="72"/>
    <x v="72"/>
    <x v="18"/>
    <x v="18"/>
    <x v="18"/>
    <x v="13"/>
    <x v="412"/>
    <x v="111"/>
    <x v="82"/>
    <x v="5"/>
    <x v="228"/>
    <x v="286"/>
    <x v="8"/>
  </r>
  <r>
    <x v="0"/>
    <x v="72"/>
    <x v="72"/>
    <x v="13"/>
    <x v="13"/>
    <x v="13"/>
    <x v="13"/>
    <x v="412"/>
    <x v="111"/>
    <x v="70"/>
    <x v="735"/>
    <x v="230"/>
    <x v="400"/>
    <x v="8"/>
  </r>
  <r>
    <x v="0"/>
    <x v="72"/>
    <x v="72"/>
    <x v="43"/>
    <x v="43"/>
    <x v="43"/>
    <x v="16"/>
    <x v="413"/>
    <x v="297"/>
    <x v="68"/>
    <x v="69"/>
    <x v="228"/>
    <x v="286"/>
    <x v="8"/>
  </r>
  <r>
    <x v="0"/>
    <x v="72"/>
    <x v="72"/>
    <x v="12"/>
    <x v="12"/>
    <x v="12"/>
    <x v="16"/>
    <x v="413"/>
    <x v="297"/>
    <x v="83"/>
    <x v="478"/>
    <x v="230"/>
    <x v="400"/>
    <x v="8"/>
  </r>
  <r>
    <x v="0"/>
    <x v="72"/>
    <x v="72"/>
    <x v="37"/>
    <x v="37"/>
    <x v="37"/>
    <x v="16"/>
    <x v="413"/>
    <x v="297"/>
    <x v="68"/>
    <x v="69"/>
    <x v="228"/>
    <x v="286"/>
    <x v="8"/>
  </r>
  <r>
    <x v="0"/>
    <x v="72"/>
    <x v="72"/>
    <x v="4"/>
    <x v="4"/>
    <x v="4"/>
    <x v="16"/>
    <x v="413"/>
    <x v="297"/>
    <x v="56"/>
    <x v="55"/>
    <x v="272"/>
    <x v="245"/>
    <x v="8"/>
  </r>
  <r>
    <x v="0"/>
    <x v="72"/>
    <x v="72"/>
    <x v="17"/>
    <x v="17"/>
    <x v="17"/>
    <x v="16"/>
    <x v="413"/>
    <x v="297"/>
    <x v="82"/>
    <x v="5"/>
    <x v="229"/>
    <x v="278"/>
    <x v="8"/>
  </r>
  <r>
    <x v="0"/>
    <x v="73"/>
    <x v="73"/>
    <x v="1"/>
    <x v="1"/>
    <x v="1"/>
    <x v="0"/>
    <x v="71"/>
    <x v="319"/>
    <x v="19"/>
    <x v="172"/>
    <x v="64"/>
    <x v="616"/>
    <x v="8"/>
  </r>
  <r>
    <x v="0"/>
    <x v="73"/>
    <x v="73"/>
    <x v="5"/>
    <x v="5"/>
    <x v="5"/>
    <x v="1"/>
    <x v="85"/>
    <x v="629"/>
    <x v="82"/>
    <x v="274"/>
    <x v="82"/>
    <x v="617"/>
    <x v="8"/>
  </r>
  <r>
    <x v="0"/>
    <x v="73"/>
    <x v="73"/>
    <x v="10"/>
    <x v="10"/>
    <x v="10"/>
    <x v="2"/>
    <x v="86"/>
    <x v="473"/>
    <x v="77"/>
    <x v="267"/>
    <x v="80"/>
    <x v="459"/>
    <x v="8"/>
  </r>
  <r>
    <x v="0"/>
    <x v="73"/>
    <x v="73"/>
    <x v="9"/>
    <x v="9"/>
    <x v="9"/>
    <x v="3"/>
    <x v="306"/>
    <x v="630"/>
    <x v="70"/>
    <x v="619"/>
    <x v="64"/>
    <x v="616"/>
    <x v="8"/>
  </r>
  <r>
    <x v="0"/>
    <x v="73"/>
    <x v="73"/>
    <x v="0"/>
    <x v="0"/>
    <x v="0"/>
    <x v="4"/>
    <x v="89"/>
    <x v="104"/>
    <x v="76"/>
    <x v="736"/>
    <x v="228"/>
    <x v="423"/>
    <x v="8"/>
  </r>
  <r>
    <x v="0"/>
    <x v="73"/>
    <x v="73"/>
    <x v="2"/>
    <x v="2"/>
    <x v="2"/>
    <x v="4"/>
    <x v="89"/>
    <x v="104"/>
    <x v="49"/>
    <x v="686"/>
    <x v="227"/>
    <x v="345"/>
    <x v="8"/>
  </r>
  <r>
    <x v="0"/>
    <x v="73"/>
    <x v="73"/>
    <x v="7"/>
    <x v="7"/>
    <x v="7"/>
    <x v="6"/>
    <x v="318"/>
    <x v="262"/>
    <x v="54"/>
    <x v="394"/>
    <x v="83"/>
    <x v="306"/>
    <x v="8"/>
  </r>
  <r>
    <x v="0"/>
    <x v="73"/>
    <x v="73"/>
    <x v="3"/>
    <x v="3"/>
    <x v="3"/>
    <x v="6"/>
    <x v="318"/>
    <x v="262"/>
    <x v="52"/>
    <x v="302"/>
    <x v="81"/>
    <x v="597"/>
    <x v="8"/>
  </r>
  <r>
    <x v="0"/>
    <x v="73"/>
    <x v="73"/>
    <x v="13"/>
    <x v="13"/>
    <x v="13"/>
    <x v="8"/>
    <x v="308"/>
    <x v="44"/>
    <x v="65"/>
    <x v="681"/>
    <x v="227"/>
    <x v="345"/>
    <x v="8"/>
  </r>
  <r>
    <x v="0"/>
    <x v="73"/>
    <x v="73"/>
    <x v="11"/>
    <x v="11"/>
    <x v="11"/>
    <x v="9"/>
    <x v="407"/>
    <x v="367"/>
    <x v="70"/>
    <x v="619"/>
    <x v="85"/>
    <x v="21"/>
    <x v="8"/>
  </r>
  <r>
    <x v="0"/>
    <x v="73"/>
    <x v="73"/>
    <x v="8"/>
    <x v="8"/>
    <x v="8"/>
    <x v="9"/>
    <x v="407"/>
    <x v="367"/>
    <x v="50"/>
    <x v="712"/>
    <x v="228"/>
    <x v="423"/>
    <x v="8"/>
  </r>
  <r>
    <x v="0"/>
    <x v="73"/>
    <x v="73"/>
    <x v="31"/>
    <x v="31"/>
    <x v="31"/>
    <x v="11"/>
    <x v="410"/>
    <x v="13"/>
    <x v="67"/>
    <x v="486"/>
    <x v="230"/>
    <x v="400"/>
    <x v="8"/>
  </r>
  <r>
    <x v="0"/>
    <x v="73"/>
    <x v="73"/>
    <x v="33"/>
    <x v="33"/>
    <x v="33"/>
    <x v="12"/>
    <x v="411"/>
    <x v="113"/>
    <x v="105"/>
    <x v="241"/>
    <x v="228"/>
    <x v="423"/>
    <x v="8"/>
  </r>
  <r>
    <x v="0"/>
    <x v="73"/>
    <x v="73"/>
    <x v="37"/>
    <x v="37"/>
    <x v="37"/>
    <x v="12"/>
    <x v="411"/>
    <x v="113"/>
    <x v="105"/>
    <x v="241"/>
    <x v="228"/>
    <x v="423"/>
    <x v="8"/>
  </r>
  <r>
    <x v="0"/>
    <x v="73"/>
    <x v="73"/>
    <x v="6"/>
    <x v="6"/>
    <x v="6"/>
    <x v="12"/>
    <x v="411"/>
    <x v="113"/>
    <x v="52"/>
    <x v="302"/>
    <x v="230"/>
    <x v="400"/>
    <x v="8"/>
  </r>
  <r>
    <x v="0"/>
    <x v="73"/>
    <x v="73"/>
    <x v="20"/>
    <x v="20"/>
    <x v="20"/>
    <x v="15"/>
    <x v="412"/>
    <x v="352"/>
    <x v="56"/>
    <x v="55"/>
    <x v="83"/>
    <x v="306"/>
    <x v="8"/>
  </r>
  <r>
    <x v="0"/>
    <x v="73"/>
    <x v="73"/>
    <x v="23"/>
    <x v="23"/>
    <x v="23"/>
    <x v="16"/>
    <x v="413"/>
    <x v="422"/>
    <x v="82"/>
    <x v="274"/>
    <x v="229"/>
    <x v="480"/>
    <x v="8"/>
  </r>
  <r>
    <x v="0"/>
    <x v="73"/>
    <x v="73"/>
    <x v="43"/>
    <x v="43"/>
    <x v="43"/>
    <x v="16"/>
    <x v="413"/>
    <x v="422"/>
    <x v="105"/>
    <x v="241"/>
    <x v="227"/>
    <x v="345"/>
    <x v="8"/>
  </r>
  <r>
    <x v="0"/>
    <x v="73"/>
    <x v="73"/>
    <x v="34"/>
    <x v="34"/>
    <x v="34"/>
    <x v="16"/>
    <x v="413"/>
    <x v="422"/>
    <x v="68"/>
    <x v="87"/>
    <x v="228"/>
    <x v="423"/>
    <x v="8"/>
  </r>
  <r>
    <x v="0"/>
    <x v="73"/>
    <x v="73"/>
    <x v="29"/>
    <x v="29"/>
    <x v="29"/>
    <x v="16"/>
    <x v="413"/>
    <x v="422"/>
    <x v="68"/>
    <x v="87"/>
    <x v="228"/>
    <x v="423"/>
    <x v="8"/>
  </r>
  <r>
    <x v="0"/>
    <x v="73"/>
    <x v="73"/>
    <x v="21"/>
    <x v="21"/>
    <x v="21"/>
    <x v="16"/>
    <x v="413"/>
    <x v="422"/>
    <x v="68"/>
    <x v="87"/>
    <x v="228"/>
    <x v="423"/>
    <x v="8"/>
  </r>
  <r>
    <x v="0"/>
    <x v="73"/>
    <x v="73"/>
    <x v="15"/>
    <x v="15"/>
    <x v="15"/>
    <x v="16"/>
    <x v="413"/>
    <x v="422"/>
    <x v="56"/>
    <x v="55"/>
    <x v="272"/>
    <x v="599"/>
    <x v="8"/>
  </r>
  <r>
    <x v="0"/>
    <x v="73"/>
    <x v="73"/>
    <x v="4"/>
    <x v="4"/>
    <x v="4"/>
    <x v="16"/>
    <x v="413"/>
    <x v="422"/>
    <x v="82"/>
    <x v="274"/>
    <x v="229"/>
    <x v="480"/>
    <x v="8"/>
  </r>
  <r>
    <x v="0"/>
    <x v="73"/>
    <x v="73"/>
    <x v="47"/>
    <x v="47"/>
    <x v="47"/>
    <x v="16"/>
    <x v="413"/>
    <x v="422"/>
    <x v="82"/>
    <x v="274"/>
    <x v="227"/>
    <x v="345"/>
    <x v="8"/>
  </r>
  <r>
    <x v="0"/>
    <x v="74"/>
    <x v="74"/>
    <x v="5"/>
    <x v="5"/>
    <x v="5"/>
    <x v="0"/>
    <x v="305"/>
    <x v="631"/>
    <x v="54"/>
    <x v="737"/>
    <x v="84"/>
    <x v="618"/>
    <x v="8"/>
  </r>
  <r>
    <x v="0"/>
    <x v="74"/>
    <x v="74"/>
    <x v="1"/>
    <x v="1"/>
    <x v="1"/>
    <x v="1"/>
    <x v="407"/>
    <x v="632"/>
    <x v="52"/>
    <x v="738"/>
    <x v="114"/>
    <x v="619"/>
    <x v="8"/>
  </r>
  <r>
    <x v="0"/>
    <x v="74"/>
    <x v="74"/>
    <x v="34"/>
    <x v="34"/>
    <x v="34"/>
    <x v="2"/>
    <x v="410"/>
    <x v="573"/>
    <x v="83"/>
    <x v="558"/>
    <x v="228"/>
    <x v="394"/>
    <x v="8"/>
  </r>
  <r>
    <x v="0"/>
    <x v="74"/>
    <x v="74"/>
    <x v="7"/>
    <x v="7"/>
    <x v="7"/>
    <x v="2"/>
    <x v="410"/>
    <x v="573"/>
    <x v="70"/>
    <x v="359"/>
    <x v="229"/>
    <x v="76"/>
    <x v="8"/>
  </r>
  <r>
    <x v="0"/>
    <x v="74"/>
    <x v="74"/>
    <x v="0"/>
    <x v="0"/>
    <x v="0"/>
    <x v="2"/>
    <x v="410"/>
    <x v="573"/>
    <x v="67"/>
    <x v="739"/>
    <x v="230"/>
    <x v="400"/>
    <x v="8"/>
  </r>
  <r>
    <x v="0"/>
    <x v="74"/>
    <x v="74"/>
    <x v="23"/>
    <x v="23"/>
    <x v="23"/>
    <x v="5"/>
    <x v="412"/>
    <x v="420"/>
    <x v="105"/>
    <x v="662"/>
    <x v="229"/>
    <x v="76"/>
    <x v="8"/>
  </r>
  <r>
    <x v="0"/>
    <x v="74"/>
    <x v="74"/>
    <x v="18"/>
    <x v="18"/>
    <x v="18"/>
    <x v="5"/>
    <x v="412"/>
    <x v="420"/>
    <x v="68"/>
    <x v="10"/>
    <x v="272"/>
    <x v="620"/>
    <x v="8"/>
  </r>
  <r>
    <x v="0"/>
    <x v="74"/>
    <x v="74"/>
    <x v="3"/>
    <x v="3"/>
    <x v="3"/>
    <x v="5"/>
    <x v="412"/>
    <x v="420"/>
    <x v="105"/>
    <x v="662"/>
    <x v="229"/>
    <x v="76"/>
    <x v="8"/>
  </r>
  <r>
    <x v="0"/>
    <x v="74"/>
    <x v="74"/>
    <x v="8"/>
    <x v="8"/>
    <x v="8"/>
    <x v="5"/>
    <x v="412"/>
    <x v="420"/>
    <x v="83"/>
    <x v="558"/>
    <x v="227"/>
    <x v="63"/>
    <x v="8"/>
  </r>
  <r>
    <x v="0"/>
    <x v="74"/>
    <x v="74"/>
    <x v="11"/>
    <x v="11"/>
    <x v="11"/>
    <x v="9"/>
    <x v="413"/>
    <x v="350"/>
    <x v="82"/>
    <x v="573"/>
    <x v="229"/>
    <x v="76"/>
    <x v="8"/>
  </r>
  <r>
    <x v="0"/>
    <x v="74"/>
    <x v="74"/>
    <x v="10"/>
    <x v="10"/>
    <x v="10"/>
    <x v="10"/>
    <x v="414"/>
    <x v="633"/>
    <x v="82"/>
    <x v="573"/>
    <x v="227"/>
    <x v="63"/>
    <x v="8"/>
  </r>
  <r>
    <x v="0"/>
    <x v="74"/>
    <x v="74"/>
    <x v="40"/>
    <x v="40"/>
    <x v="40"/>
    <x v="10"/>
    <x v="414"/>
    <x v="633"/>
    <x v="68"/>
    <x v="10"/>
    <x v="229"/>
    <x v="76"/>
    <x v="8"/>
  </r>
  <r>
    <x v="0"/>
    <x v="74"/>
    <x v="74"/>
    <x v="2"/>
    <x v="2"/>
    <x v="2"/>
    <x v="10"/>
    <x v="414"/>
    <x v="633"/>
    <x v="105"/>
    <x v="662"/>
    <x v="230"/>
    <x v="400"/>
    <x v="8"/>
  </r>
  <r>
    <x v="0"/>
    <x v="74"/>
    <x v="74"/>
    <x v="9"/>
    <x v="9"/>
    <x v="9"/>
    <x v="13"/>
    <x v="415"/>
    <x v="186"/>
    <x v="56"/>
    <x v="55"/>
    <x v="229"/>
    <x v="76"/>
    <x v="8"/>
  </r>
  <r>
    <x v="0"/>
    <x v="74"/>
    <x v="74"/>
    <x v="51"/>
    <x v="51"/>
    <x v="51"/>
    <x v="13"/>
    <x v="415"/>
    <x v="186"/>
    <x v="68"/>
    <x v="10"/>
    <x v="227"/>
    <x v="63"/>
    <x v="8"/>
  </r>
  <r>
    <x v="0"/>
    <x v="74"/>
    <x v="74"/>
    <x v="44"/>
    <x v="44"/>
    <x v="44"/>
    <x v="13"/>
    <x v="415"/>
    <x v="186"/>
    <x v="68"/>
    <x v="10"/>
    <x v="227"/>
    <x v="63"/>
    <x v="8"/>
  </r>
  <r>
    <x v="0"/>
    <x v="74"/>
    <x v="74"/>
    <x v="43"/>
    <x v="43"/>
    <x v="43"/>
    <x v="13"/>
    <x v="415"/>
    <x v="186"/>
    <x v="82"/>
    <x v="573"/>
    <x v="230"/>
    <x v="400"/>
    <x v="8"/>
  </r>
  <r>
    <x v="0"/>
    <x v="74"/>
    <x v="74"/>
    <x v="33"/>
    <x v="33"/>
    <x v="33"/>
    <x v="13"/>
    <x v="415"/>
    <x v="186"/>
    <x v="68"/>
    <x v="10"/>
    <x v="227"/>
    <x v="63"/>
    <x v="8"/>
  </r>
  <r>
    <x v="0"/>
    <x v="74"/>
    <x v="74"/>
    <x v="48"/>
    <x v="48"/>
    <x v="48"/>
    <x v="13"/>
    <x v="415"/>
    <x v="186"/>
    <x v="68"/>
    <x v="10"/>
    <x v="227"/>
    <x v="63"/>
    <x v="8"/>
  </r>
  <r>
    <x v="0"/>
    <x v="74"/>
    <x v="74"/>
    <x v="15"/>
    <x v="15"/>
    <x v="15"/>
    <x v="13"/>
    <x v="415"/>
    <x v="186"/>
    <x v="56"/>
    <x v="55"/>
    <x v="229"/>
    <x v="76"/>
    <x v="8"/>
  </r>
  <r>
    <x v="0"/>
    <x v="74"/>
    <x v="74"/>
    <x v="26"/>
    <x v="26"/>
    <x v="26"/>
    <x v="13"/>
    <x v="415"/>
    <x v="186"/>
    <x v="68"/>
    <x v="10"/>
    <x v="230"/>
    <x v="400"/>
    <x v="8"/>
  </r>
  <r>
    <x v="0"/>
    <x v="74"/>
    <x v="74"/>
    <x v="47"/>
    <x v="47"/>
    <x v="47"/>
    <x v="13"/>
    <x v="415"/>
    <x v="186"/>
    <x v="68"/>
    <x v="10"/>
    <x v="227"/>
    <x v="63"/>
    <x v="8"/>
  </r>
  <r>
    <x v="0"/>
    <x v="74"/>
    <x v="74"/>
    <x v="6"/>
    <x v="6"/>
    <x v="6"/>
    <x v="13"/>
    <x v="415"/>
    <x v="186"/>
    <x v="82"/>
    <x v="573"/>
    <x v="230"/>
    <x v="400"/>
    <x v="8"/>
  </r>
  <r>
    <x v="0"/>
    <x v="74"/>
    <x v="74"/>
    <x v="31"/>
    <x v="31"/>
    <x v="31"/>
    <x v="13"/>
    <x v="415"/>
    <x v="186"/>
    <x v="82"/>
    <x v="573"/>
    <x v="230"/>
    <x v="400"/>
    <x v="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80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1"/>
  </r>
  <r>
    <x v="0"/>
    <x v="0"/>
    <x v="0"/>
    <x v="2"/>
    <x v="2"/>
    <x v="2"/>
    <x v="2"/>
    <x v="2"/>
    <x v="2"/>
    <x v="2"/>
    <x v="2"/>
    <x v="2"/>
    <x v="2"/>
    <x v="0"/>
  </r>
  <r>
    <x v="0"/>
    <x v="0"/>
    <x v="0"/>
    <x v="3"/>
    <x v="3"/>
    <x v="3"/>
    <x v="3"/>
    <x v="3"/>
    <x v="3"/>
    <x v="3"/>
    <x v="3"/>
    <x v="3"/>
    <x v="3"/>
    <x v="1"/>
  </r>
  <r>
    <x v="0"/>
    <x v="0"/>
    <x v="0"/>
    <x v="4"/>
    <x v="4"/>
    <x v="4"/>
    <x v="4"/>
    <x v="4"/>
    <x v="4"/>
    <x v="4"/>
    <x v="4"/>
    <x v="4"/>
    <x v="4"/>
    <x v="2"/>
  </r>
  <r>
    <x v="0"/>
    <x v="0"/>
    <x v="0"/>
    <x v="5"/>
    <x v="5"/>
    <x v="5"/>
    <x v="5"/>
    <x v="5"/>
    <x v="5"/>
    <x v="5"/>
    <x v="5"/>
    <x v="5"/>
    <x v="5"/>
    <x v="2"/>
  </r>
  <r>
    <x v="0"/>
    <x v="0"/>
    <x v="0"/>
    <x v="6"/>
    <x v="6"/>
    <x v="6"/>
    <x v="6"/>
    <x v="6"/>
    <x v="6"/>
    <x v="6"/>
    <x v="6"/>
    <x v="6"/>
    <x v="6"/>
    <x v="1"/>
  </r>
  <r>
    <x v="0"/>
    <x v="0"/>
    <x v="0"/>
    <x v="7"/>
    <x v="7"/>
    <x v="7"/>
    <x v="7"/>
    <x v="7"/>
    <x v="7"/>
    <x v="7"/>
    <x v="7"/>
    <x v="7"/>
    <x v="7"/>
    <x v="1"/>
  </r>
  <r>
    <x v="0"/>
    <x v="0"/>
    <x v="0"/>
    <x v="8"/>
    <x v="8"/>
    <x v="8"/>
    <x v="8"/>
    <x v="8"/>
    <x v="8"/>
    <x v="8"/>
    <x v="8"/>
    <x v="8"/>
    <x v="8"/>
    <x v="3"/>
  </r>
  <r>
    <x v="0"/>
    <x v="0"/>
    <x v="0"/>
    <x v="9"/>
    <x v="9"/>
    <x v="9"/>
    <x v="9"/>
    <x v="9"/>
    <x v="9"/>
    <x v="9"/>
    <x v="9"/>
    <x v="9"/>
    <x v="9"/>
    <x v="4"/>
  </r>
  <r>
    <x v="0"/>
    <x v="0"/>
    <x v="0"/>
    <x v="10"/>
    <x v="10"/>
    <x v="10"/>
    <x v="10"/>
    <x v="10"/>
    <x v="10"/>
    <x v="10"/>
    <x v="10"/>
    <x v="10"/>
    <x v="10"/>
    <x v="0"/>
  </r>
  <r>
    <x v="0"/>
    <x v="0"/>
    <x v="0"/>
    <x v="11"/>
    <x v="11"/>
    <x v="11"/>
    <x v="11"/>
    <x v="11"/>
    <x v="11"/>
    <x v="11"/>
    <x v="11"/>
    <x v="11"/>
    <x v="11"/>
    <x v="0"/>
  </r>
  <r>
    <x v="0"/>
    <x v="0"/>
    <x v="0"/>
    <x v="12"/>
    <x v="12"/>
    <x v="12"/>
    <x v="12"/>
    <x v="12"/>
    <x v="12"/>
    <x v="12"/>
    <x v="12"/>
    <x v="12"/>
    <x v="12"/>
    <x v="5"/>
  </r>
  <r>
    <x v="0"/>
    <x v="0"/>
    <x v="0"/>
    <x v="13"/>
    <x v="13"/>
    <x v="13"/>
    <x v="13"/>
    <x v="13"/>
    <x v="13"/>
    <x v="13"/>
    <x v="13"/>
    <x v="13"/>
    <x v="13"/>
    <x v="6"/>
  </r>
  <r>
    <x v="0"/>
    <x v="0"/>
    <x v="0"/>
    <x v="14"/>
    <x v="14"/>
    <x v="14"/>
    <x v="14"/>
    <x v="14"/>
    <x v="14"/>
    <x v="14"/>
    <x v="14"/>
    <x v="14"/>
    <x v="14"/>
    <x v="3"/>
  </r>
  <r>
    <x v="0"/>
    <x v="0"/>
    <x v="0"/>
    <x v="15"/>
    <x v="15"/>
    <x v="15"/>
    <x v="15"/>
    <x v="15"/>
    <x v="15"/>
    <x v="15"/>
    <x v="15"/>
    <x v="15"/>
    <x v="15"/>
    <x v="6"/>
  </r>
  <r>
    <x v="0"/>
    <x v="0"/>
    <x v="0"/>
    <x v="16"/>
    <x v="16"/>
    <x v="16"/>
    <x v="16"/>
    <x v="16"/>
    <x v="16"/>
    <x v="16"/>
    <x v="16"/>
    <x v="16"/>
    <x v="16"/>
    <x v="6"/>
  </r>
  <r>
    <x v="0"/>
    <x v="0"/>
    <x v="0"/>
    <x v="17"/>
    <x v="17"/>
    <x v="17"/>
    <x v="17"/>
    <x v="17"/>
    <x v="17"/>
    <x v="17"/>
    <x v="17"/>
    <x v="17"/>
    <x v="17"/>
    <x v="1"/>
  </r>
  <r>
    <x v="0"/>
    <x v="0"/>
    <x v="0"/>
    <x v="18"/>
    <x v="18"/>
    <x v="18"/>
    <x v="18"/>
    <x v="18"/>
    <x v="18"/>
    <x v="18"/>
    <x v="18"/>
    <x v="18"/>
    <x v="18"/>
    <x v="6"/>
  </r>
  <r>
    <x v="0"/>
    <x v="0"/>
    <x v="0"/>
    <x v="19"/>
    <x v="19"/>
    <x v="19"/>
    <x v="19"/>
    <x v="19"/>
    <x v="18"/>
    <x v="19"/>
    <x v="19"/>
    <x v="19"/>
    <x v="19"/>
    <x v="1"/>
  </r>
  <r>
    <x v="0"/>
    <x v="1"/>
    <x v="1"/>
    <x v="0"/>
    <x v="0"/>
    <x v="0"/>
    <x v="0"/>
    <x v="20"/>
    <x v="19"/>
    <x v="20"/>
    <x v="20"/>
    <x v="20"/>
    <x v="20"/>
    <x v="1"/>
  </r>
  <r>
    <x v="0"/>
    <x v="1"/>
    <x v="1"/>
    <x v="6"/>
    <x v="6"/>
    <x v="6"/>
    <x v="1"/>
    <x v="21"/>
    <x v="20"/>
    <x v="21"/>
    <x v="21"/>
    <x v="21"/>
    <x v="21"/>
    <x v="1"/>
  </r>
  <r>
    <x v="0"/>
    <x v="1"/>
    <x v="1"/>
    <x v="3"/>
    <x v="3"/>
    <x v="3"/>
    <x v="2"/>
    <x v="22"/>
    <x v="21"/>
    <x v="22"/>
    <x v="22"/>
    <x v="22"/>
    <x v="22"/>
    <x v="1"/>
  </r>
  <r>
    <x v="0"/>
    <x v="1"/>
    <x v="1"/>
    <x v="1"/>
    <x v="1"/>
    <x v="1"/>
    <x v="3"/>
    <x v="23"/>
    <x v="22"/>
    <x v="23"/>
    <x v="23"/>
    <x v="23"/>
    <x v="23"/>
    <x v="1"/>
  </r>
  <r>
    <x v="0"/>
    <x v="1"/>
    <x v="1"/>
    <x v="5"/>
    <x v="5"/>
    <x v="5"/>
    <x v="4"/>
    <x v="24"/>
    <x v="23"/>
    <x v="24"/>
    <x v="24"/>
    <x v="24"/>
    <x v="24"/>
    <x v="0"/>
  </r>
  <r>
    <x v="0"/>
    <x v="1"/>
    <x v="1"/>
    <x v="2"/>
    <x v="2"/>
    <x v="2"/>
    <x v="5"/>
    <x v="25"/>
    <x v="24"/>
    <x v="25"/>
    <x v="25"/>
    <x v="25"/>
    <x v="14"/>
    <x v="6"/>
  </r>
  <r>
    <x v="0"/>
    <x v="1"/>
    <x v="1"/>
    <x v="4"/>
    <x v="4"/>
    <x v="4"/>
    <x v="6"/>
    <x v="26"/>
    <x v="25"/>
    <x v="26"/>
    <x v="26"/>
    <x v="26"/>
    <x v="25"/>
    <x v="7"/>
  </r>
  <r>
    <x v="0"/>
    <x v="1"/>
    <x v="1"/>
    <x v="11"/>
    <x v="11"/>
    <x v="11"/>
    <x v="7"/>
    <x v="27"/>
    <x v="26"/>
    <x v="27"/>
    <x v="27"/>
    <x v="27"/>
    <x v="26"/>
    <x v="6"/>
  </r>
  <r>
    <x v="0"/>
    <x v="1"/>
    <x v="1"/>
    <x v="17"/>
    <x v="17"/>
    <x v="17"/>
    <x v="8"/>
    <x v="28"/>
    <x v="27"/>
    <x v="28"/>
    <x v="28"/>
    <x v="28"/>
    <x v="27"/>
    <x v="1"/>
  </r>
  <r>
    <x v="0"/>
    <x v="1"/>
    <x v="1"/>
    <x v="8"/>
    <x v="8"/>
    <x v="8"/>
    <x v="9"/>
    <x v="29"/>
    <x v="28"/>
    <x v="29"/>
    <x v="29"/>
    <x v="29"/>
    <x v="28"/>
    <x v="6"/>
  </r>
  <r>
    <x v="0"/>
    <x v="1"/>
    <x v="1"/>
    <x v="13"/>
    <x v="13"/>
    <x v="13"/>
    <x v="10"/>
    <x v="30"/>
    <x v="29"/>
    <x v="30"/>
    <x v="13"/>
    <x v="30"/>
    <x v="29"/>
    <x v="6"/>
  </r>
  <r>
    <x v="0"/>
    <x v="1"/>
    <x v="1"/>
    <x v="19"/>
    <x v="19"/>
    <x v="19"/>
    <x v="11"/>
    <x v="31"/>
    <x v="30"/>
    <x v="31"/>
    <x v="30"/>
    <x v="31"/>
    <x v="30"/>
    <x v="1"/>
  </r>
  <r>
    <x v="0"/>
    <x v="1"/>
    <x v="1"/>
    <x v="20"/>
    <x v="20"/>
    <x v="20"/>
    <x v="12"/>
    <x v="32"/>
    <x v="31"/>
    <x v="32"/>
    <x v="31"/>
    <x v="32"/>
    <x v="31"/>
    <x v="0"/>
  </r>
  <r>
    <x v="0"/>
    <x v="1"/>
    <x v="1"/>
    <x v="12"/>
    <x v="12"/>
    <x v="12"/>
    <x v="13"/>
    <x v="33"/>
    <x v="32"/>
    <x v="33"/>
    <x v="32"/>
    <x v="33"/>
    <x v="32"/>
    <x v="8"/>
  </r>
  <r>
    <x v="0"/>
    <x v="1"/>
    <x v="1"/>
    <x v="7"/>
    <x v="7"/>
    <x v="7"/>
    <x v="14"/>
    <x v="34"/>
    <x v="33"/>
    <x v="34"/>
    <x v="33"/>
    <x v="34"/>
    <x v="33"/>
    <x v="1"/>
  </r>
  <r>
    <x v="0"/>
    <x v="1"/>
    <x v="1"/>
    <x v="9"/>
    <x v="9"/>
    <x v="9"/>
    <x v="15"/>
    <x v="35"/>
    <x v="34"/>
    <x v="35"/>
    <x v="34"/>
    <x v="35"/>
    <x v="14"/>
    <x v="2"/>
  </r>
  <r>
    <x v="0"/>
    <x v="1"/>
    <x v="1"/>
    <x v="10"/>
    <x v="10"/>
    <x v="10"/>
    <x v="16"/>
    <x v="36"/>
    <x v="34"/>
    <x v="36"/>
    <x v="14"/>
    <x v="36"/>
    <x v="34"/>
    <x v="6"/>
  </r>
  <r>
    <x v="0"/>
    <x v="1"/>
    <x v="1"/>
    <x v="18"/>
    <x v="18"/>
    <x v="18"/>
    <x v="17"/>
    <x v="37"/>
    <x v="35"/>
    <x v="37"/>
    <x v="35"/>
    <x v="37"/>
    <x v="35"/>
    <x v="6"/>
  </r>
  <r>
    <x v="0"/>
    <x v="1"/>
    <x v="1"/>
    <x v="14"/>
    <x v="14"/>
    <x v="14"/>
    <x v="18"/>
    <x v="38"/>
    <x v="36"/>
    <x v="38"/>
    <x v="36"/>
    <x v="38"/>
    <x v="14"/>
    <x v="1"/>
  </r>
  <r>
    <x v="0"/>
    <x v="1"/>
    <x v="1"/>
    <x v="21"/>
    <x v="21"/>
    <x v="21"/>
    <x v="19"/>
    <x v="39"/>
    <x v="37"/>
    <x v="39"/>
    <x v="37"/>
    <x v="39"/>
    <x v="36"/>
    <x v="9"/>
  </r>
  <r>
    <x v="0"/>
    <x v="2"/>
    <x v="2"/>
    <x v="0"/>
    <x v="0"/>
    <x v="0"/>
    <x v="0"/>
    <x v="40"/>
    <x v="38"/>
    <x v="40"/>
    <x v="38"/>
    <x v="40"/>
    <x v="37"/>
    <x v="1"/>
  </r>
  <r>
    <x v="0"/>
    <x v="2"/>
    <x v="2"/>
    <x v="3"/>
    <x v="3"/>
    <x v="3"/>
    <x v="1"/>
    <x v="41"/>
    <x v="39"/>
    <x v="41"/>
    <x v="39"/>
    <x v="41"/>
    <x v="38"/>
    <x v="1"/>
  </r>
  <r>
    <x v="0"/>
    <x v="2"/>
    <x v="2"/>
    <x v="1"/>
    <x v="1"/>
    <x v="1"/>
    <x v="2"/>
    <x v="42"/>
    <x v="40"/>
    <x v="42"/>
    <x v="40"/>
    <x v="42"/>
    <x v="39"/>
    <x v="1"/>
  </r>
  <r>
    <x v="0"/>
    <x v="2"/>
    <x v="2"/>
    <x v="6"/>
    <x v="6"/>
    <x v="6"/>
    <x v="3"/>
    <x v="43"/>
    <x v="41"/>
    <x v="43"/>
    <x v="41"/>
    <x v="42"/>
    <x v="39"/>
    <x v="1"/>
  </r>
  <r>
    <x v="0"/>
    <x v="2"/>
    <x v="2"/>
    <x v="2"/>
    <x v="2"/>
    <x v="2"/>
    <x v="4"/>
    <x v="44"/>
    <x v="42"/>
    <x v="44"/>
    <x v="42"/>
    <x v="43"/>
    <x v="40"/>
    <x v="1"/>
  </r>
  <r>
    <x v="0"/>
    <x v="2"/>
    <x v="2"/>
    <x v="5"/>
    <x v="5"/>
    <x v="5"/>
    <x v="5"/>
    <x v="45"/>
    <x v="43"/>
    <x v="45"/>
    <x v="43"/>
    <x v="44"/>
    <x v="41"/>
    <x v="1"/>
  </r>
  <r>
    <x v="0"/>
    <x v="2"/>
    <x v="2"/>
    <x v="4"/>
    <x v="4"/>
    <x v="4"/>
    <x v="6"/>
    <x v="46"/>
    <x v="44"/>
    <x v="46"/>
    <x v="44"/>
    <x v="45"/>
    <x v="42"/>
    <x v="1"/>
  </r>
  <r>
    <x v="0"/>
    <x v="2"/>
    <x v="2"/>
    <x v="11"/>
    <x v="11"/>
    <x v="11"/>
    <x v="7"/>
    <x v="47"/>
    <x v="45"/>
    <x v="47"/>
    <x v="45"/>
    <x v="46"/>
    <x v="24"/>
    <x v="1"/>
  </r>
  <r>
    <x v="0"/>
    <x v="2"/>
    <x v="2"/>
    <x v="9"/>
    <x v="9"/>
    <x v="9"/>
    <x v="8"/>
    <x v="48"/>
    <x v="46"/>
    <x v="48"/>
    <x v="46"/>
    <x v="47"/>
    <x v="43"/>
    <x v="1"/>
  </r>
  <r>
    <x v="0"/>
    <x v="2"/>
    <x v="2"/>
    <x v="8"/>
    <x v="8"/>
    <x v="8"/>
    <x v="9"/>
    <x v="49"/>
    <x v="47"/>
    <x v="49"/>
    <x v="47"/>
    <x v="48"/>
    <x v="44"/>
    <x v="1"/>
  </r>
  <r>
    <x v="0"/>
    <x v="2"/>
    <x v="2"/>
    <x v="12"/>
    <x v="12"/>
    <x v="12"/>
    <x v="10"/>
    <x v="50"/>
    <x v="48"/>
    <x v="50"/>
    <x v="48"/>
    <x v="45"/>
    <x v="42"/>
    <x v="1"/>
  </r>
  <r>
    <x v="0"/>
    <x v="2"/>
    <x v="2"/>
    <x v="22"/>
    <x v="22"/>
    <x v="22"/>
    <x v="11"/>
    <x v="51"/>
    <x v="49"/>
    <x v="51"/>
    <x v="49"/>
    <x v="49"/>
    <x v="45"/>
    <x v="1"/>
  </r>
  <r>
    <x v="0"/>
    <x v="2"/>
    <x v="2"/>
    <x v="23"/>
    <x v="23"/>
    <x v="23"/>
    <x v="12"/>
    <x v="52"/>
    <x v="12"/>
    <x v="52"/>
    <x v="50"/>
    <x v="50"/>
    <x v="46"/>
    <x v="1"/>
  </r>
  <r>
    <x v="0"/>
    <x v="2"/>
    <x v="2"/>
    <x v="15"/>
    <x v="15"/>
    <x v="15"/>
    <x v="13"/>
    <x v="53"/>
    <x v="13"/>
    <x v="53"/>
    <x v="51"/>
    <x v="51"/>
    <x v="47"/>
    <x v="1"/>
  </r>
  <r>
    <x v="0"/>
    <x v="2"/>
    <x v="2"/>
    <x v="14"/>
    <x v="14"/>
    <x v="14"/>
    <x v="14"/>
    <x v="54"/>
    <x v="31"/>
    <x v="54"/>
    <x v="52"/>
    <x v="52"/>
    <x v="48"/>
    <x v="1"/>
  </r>
  <r>
    <x v="0"/>
    <x v="2"/>
    <x v="2"/>
    <x v="13"/>
    <x v="13"/>
    <x v="13"/>
    <x v="15"/>
    <x v="55"/>
    <x v="50"/>
    <x v="55"/>
    <x v="53"/>
    <x v="53"/>
    <x v="49"/>
    <x v="1"/>
  </r>
  <r>
    <x v="0"/>
    <x v="2"/>
    <x v="2"/>
    <x v="10"/>
    <x v="10"/>
    <x v="10"/>
    <x v="16"/>
    <x v="56"/>
    <x v="51"/>
    <x v="56"/>
    <x v="54"/>
    <x v="54"/>
    <x v="1"/>
    <x v="1"/>
  </r>
  <r>
    <x v="0"/>
    <x v="2"/>
    <x v="2"/>
    <x v="18"/>
    <x v="18"/>
    <x v="18"/>
    <x v="17"/>
    <x v="57"/>
    <x v="52"/>
    <x v="57"/>
    <x v="55"/>
    <x v="55"/>
    <x v="50"/>
    <x v="1"/>
  </r>
  <r>
    <x v="0"/>
    <x v="2"/>
    <x v="2"/>
    <x v="7"/>
    <x v="7"/>
    <x v="7"/>
    <x v="17"/>
    <x v="57"/>
    <x v="52"/>
    <x v="58"/>
    <x v="56"/>
    <x v="56"/>
    <x v="51"/>
    <x v="1"/>
  </r>
  <r>
    <x v="0"/>
    <x v="2"/>
    <x v="2"/>
    <x v="24"/>
    <x v="24"/>
    <x v="24"/>
    <x v="19"/>
    <x v="58"/>
    <x v="53"/>
    <x v="59"/>
    <x v="57"/>
    <x v="49"/>
    <x v="45"/>
    <x v="1"/>
  </r>
  <r>
    <x v="0"/>
    <x v="2"/>
    <x v="2"/>
    <x v="20"/>
    <x v="20"/>
    <x v="20"/>
    <x v="19"/>
    <x v="58"/>
    <x v="53"/>
    <x v="60"/>
    <x v="58"/>
    <x v="55"/>
    <x v="50"/>
    <x v="1"/>
  </r>
  <r>
    <x v="0"/>
    <x v="3"/>
    <x v="3"/>
    <x v="0"/>
    <x v="0"/>
    <x v="0"/>
    <x v="0"/>
    <x v="59"/>
    <x v="54"/>
    <x v="61"/>
    <x v="59"/>
    <x v="57"/>
    <x v="52"/>
    <x v="1"/>
  </r>
  <r>
    <x v="0"/>
    <x v="3"/>
    <x v="3"/>
    <x v="6"/>
    <x v="6"/>
    <x v="6"/>
    <x v="1"/>
    <x v="60"/>
    <x v="55"/>
    <x v="62"/>
    <x v="60"/>
    <x v="58"/>
    <x v="53"/>
    <x v="1"/>
  </r>
  <r>
    <x v="0"/>
    <x v="3"/>
    <x v="3"/>
    <x v="3"/>
    <x v="3"/>
    <x v="3"/>
    <x v="2"/>
    <x v="61"/>
    <x v="56"/>
    <x v="63"/>
    <x v="61"/>
    <x v="59"/>
    <x v="54"/>
    <x v="1"/>
  </r>
  <r>
    <x v="0"/>
    <x v="3"/>
    <x v="3"/>
    <x v="25"/>
    <x v="25"/>
    <x v="25"/>
    <x v="3"/>
    <x v="41"/>
    <x v="57"/>
    <x v="64"/>
    <x v="62"/>
    <x v="60"/>
    <x v="55"/>
    <x v="6"/>
  </r>
  <r>
    <x v="0"/>
    <x v="3"/>
    <x v="3"/>
    <x v="2"/>
    <x v="2"/>
    <x v="2"/>
    <x v="4"/>
    <x v="62"/>
    <x v="58"/>
    <x v="65"/>
    <x v="63"/>
    <x v="54"/>
    <x v="56"/>
    <x v="1"/>
  </r>
  <r>
    <x v="0"/>
    <x v="3"/>
    <x v="3"/>
    <x v="1"/>
    <x v="1"/>
    <x v="1"/>
    <x v="5"/>
    <x v="63"/>
    <x v="59"/>
    <x v="66"/>
    <x v="64"/>
    <x v="61"/>
    <x v="57"/>
    <x v="1"/>
  </r>
  <r>
    <x v="0"/>
    <x v="3"/>
    <x v="3"/>
    <x v="4"/>
    <x v="4"/>
    <x v="4"/>
    <x v="6"/>
    <x v="64"/>
    <x v="60"/>
    <x v="67"/>
    <x v="49"/>
    <x v="62"/>
    <x v="58"/>
    <x v="6"/>
  </r>
  <r>
    <x v="0"/>
    <x v="3"/>
    <x v="3"/>
    <x v="26"/>
    <x v="26"/>
    <x v="26"/>
    <x v="7"/>
    <x v="49"/>
    <x v="61"/>
    <x v="68"/>
    <x v="65"/>
    <x v="45"/>
    <x v="59"/>
    <x v="1"/>
  </r>
  <r>
    <x v="0"/>
    <x v="3"/>
    <x v="3"/>
    <x v="5"/>
    <x v="5"/>
    <x v="5"/>
    <x v="8"/>
    <x v="65"/>
    <x v="62"/>
    <x v="69"/>
    <x v="66"/>
    <x v="63"/>
    <x v="60"/>
    <x v="1"/>
  </r>
  <r>
    <x v="0"/>
    <x v="3"/>
    <x v="3"/>
    <x v="11"/>
    <x v="11"/>
    <x v="11"/>
    <x v="9"/>
    <x v="50"/>
    <x v="63"/>
    <x v="70"/>
    <x v="67"/>
    <x v="44"/>
    <x v="61"/>
    <x v="1"/>
  </r>
  <r>
    <x v="0"/>
    <x v="3"/>
    <x v="3"/>
    <x v="9"/>
    <x v="9"/>
    <x v="9"/>
    <x v="9"/>
    <x v="50"/>
    <x v="63"/>
    <x v="58"/>
    <x v="68"/>
    <x v="64"/>
    <x v="62"/>
    <x v="1"/>
  </r>
  <r>
    <x v="0"/>
    <x v="3"/>
    <x v="3"/>
    <x v="13"/>
    <x v="13"/>
    <x v="13"/>
    <x v="11"/>
    <x v="66"/>
    <x v="10"/>
    <x v="71"/>
    <x v="69"/>
    <x v="65"/>
    <x v="63"/>
    <x v="1"/>
  </r>
  <r>
    <x v="0"/>
    <x v="3"/>
    <x v="3"/>
    <x v="17"/>
    <x v="17"/>
    <x v="17"/>
    <x v="11"/>
    <x v="66"/>
    <x v="10"/>
    <x v="72"/>
    <x v="70"/>
    <x v="66"/>
    <x v="64"/>
    <x v="1"/>
  </r>
  <r>
    <x v="0"/>
    <x v="3"/>
    <x v="3"/>
    <x v="7"/>
    <x v="7"/>
    <x v="7"/>
    <x v="13"/>
    <x v="55"/>
    <x v="64"/>
    <x v="48"/>
    <x v="71"/>
    <x v="67"/>
    <x v="65"/>
    <x v="1"/>
  </r>
  <r>
    <x v="0"/>
    <x v="3"/>
    <x v="3"/>
    <x v="10"/>
    <x v="10"/>
    <x v="10"/>
    <x v="14"/>
    <x v="57"/>
    <x v="65"/>
    <x v="54"/>
    <x v="72"/>
    <x v="43"/>
    <x v="66"/>
    <x v="1"/>
  </r>
  <r>
    <x v="0"/>
    <x v="3"/>
    <x v="3"/>
    <x v="22"/>
    <x v="22"/>
    <x v="22"/>
    <x v="15"/>
    <x v="67"/>
    <x v="66"/>
    <x v="59"/>
    <x v="73"/>
    <x v="68"/>
    <x v="36"/>
    <x v="1"/>
  </r>
  <r>
    <x v="0"/>
    <x v="3"/>
    <x v="3"/>
    <x v="8"/>
    <x v="8"/>
    <x v="8"/>
    <x v="16"/>
    <x v="58"/>
    <x v="67"/>
    <x v="73"/>
    <x v="74"/>
    <x v="69"/>
    <x v="67"/>
    <x v="1"/>
  </r>
  <r>
    <x v="0"/>
    <x v="3"/>
    <x v="3"/>
    <x v="20"/>
    <x v="20"/>
    <x v="20"/>
    <x v="16"/>
    <x v="58"/>
    <x v="67"/>
    <x v="74"/>
    <x v="75"/>
    <x v="55"/>
    <x v="68"/>
    <x v="1"/>
  </r>
  <r>
    <x v="0"/>
    <x v="3"/>
    <x v="3"/>
    <x v="27"/>
    <x v="27"/>
    <x v="27"/>
    <x v="18"/>
    <x v="68"/>
    <x v="68"/>
    <x v="75"/>
    <x v="76"/>
    <x v="70"/>
    <x v="19"/>
    <x v="1"/>
  </r>
  <r>
    <x v="0"/>
    <x v="3"/>
    <x v="3"/>
    <x v="28"/>
    <x v="28"/>
    <x v="28"/>
    <x v="18"/>
    <x v="68"/>
    <x v="68"/>
    <x v="75"/>
    <x v="76"/>
    <x v="70"/>
    <x v="19"/>
    <x v="1"/>
  </r>
  <r>
    <x v="0"/>
    <x v="4"/>
    <x v="4"/>
    <x v="0"/>
    <x v="0"/>
    <x v="0"/>
    <x v="0"/>
    <x v="63"/>
    <x v="69"/>
    <x v="76"/>
    <x v="77"/>
    <x v="71"/>
    <x v="69"/>
    <x v="1"/>
  </r>
  <r>
    <x v="0"/>
    <x v="4"/>
    <x v="4"/>
    <x v="3"/>
    <x v="3"/>
    <x v="3"/>
    <x v="1"/>
    <x v="64"/>
    <x v="70"/>
    <x v="77"/>
    <x v="78"/>
    <x v="72"/>
    <x v="70"/>
    <x v="1"/>
  </r>
  <r>
    <x v="0"/>
    <x v="4"/>
    <x v="4"/>
    <x v="1"/>
    <x v="1"/>
    <x v="1"/>
    <x v="2"/>
    <x v="48"/>
    <x v="71"/>
    <x v="70"/>
    <x v="79"/>
    <x v="61"/>
    <x v="71"/>
    <x v="1"/>
  </r>
  <r>
    <x v="0"/>
    <x v="4"/>
    <x v="4"/>
    <x v="5"/>
    <x v="5"/>
    <x v="5"/>
    <x v="3"/>
    <x v="69"/>
    <x v="72"/>
    <x v="78"/>
    <x v="80"/>
    <x v="73"/>
    <x v="72"/>
    <x v="1"/>
  </r>
  <r>
    <x v="0"/>
    <x v="4"/>
    <x v="4"/>
    <x v="14"/>
    <x v="14"/>
    <x v="14"/>
    <x v="4"/>
    <x v="67"/>
    <x v="73"/>
    <x v="56"/>
    <x v="81"/>
    <x v="61"/>
    <x v="71"/>
    <x v="1"/>
  </r>
  <r>
    <x v="0"/>
    <x v="4"/>
    <x v="4"/>
    <x v="6"/>
    <x v="6"/>
    <x v="6"/>
    <x v="5"/>
    <x v="58"/>
    <x v="74"/>
    <x v="79"/>
    <x v="82"/>
    <x v="74"/>
    <x v="73"/>
    <x v="1"/>
  </r>
  <r>
    <x v="0"/>
    <x v="4"/>
    <x v="4"/>
    <x v="2"/>
    <x v="2"/>
    <x v="2"/>
    <x v="6"/>
    <x v="70"/>
    <x v="75"/>
    <x v="80"/>
    <x v="83"/>
    <x v="72"/>
    <x v="70"/>
    <x v="1"/>
  </r>
  <r>
    <x v="0"/>
    <x v="4"/>
    <x v="4"/>
    <x v="10"/>
    <x v="10"/>
    <x v="10"/>
    <x v="7"/>
    <x v="71"/>
    <x v="76"/>
    <x v="80"/>
    <x v="83"/>
    <x v="67"/>
    <x v="74"/>
    <x v="1"/>
  </r>
  <r>
    <x v="0"/>
    <x v="4"/>
    <x v="4"/>
    <x v="11"/>
    <x v="11"/>
    <x v="11"/>
    <x v="8"/>
    <x v="72"/>
    <x v="7"/>
    <x v="56"/>
    <x v="81"/>
    <x v="73"/>
    <x v="72"/>
    <x v="1"/>
  </r>
  <r>
    <x v="0"/>
    <x v="4"/>
    <x v="4"/>
    <x v="16"/>
    <x v="16"/>
    <x v="16"/>
    <x v="9"/>
    <x v="73"/>
    <x v="77"/>
    <x v="75"/>
    <x v="84"/>
    <x v="50"/>
    <x v="75"/>
    <x v="1"/>
  </r>
  <r>
    <x v="0"/>
    <x v="4"/>
    <x v="4"/>
    <x v="7"/>
    <x v="7"/>
    <x v="7"/>
    <x v="9"/>
    <x v="73"/>
    <x v="77"/>
    <x v="80"/>
    <x v="83"/>
    <x v="73"/>
    <x v="72"/>
    <x v="1"/>
  </r>
  <r>
    <x v="0"/>
    <x v="4"/>
    <x v="4"/>
    <x v="8"/>
    <x v="8"/>
    <x v="8"/>
    <x v="11"/>
    <x v="74"/>
    <x v="78"/>
    <x v="52"/>
    <x v="85"/>
    <x v="46"/>
    <x v="2"/>
    <x v="1"/>
  </r>
  <r>
    <x v="0"/>
    <x v="4"/>
    <x v="4"/>
    <x v="29"/>
    <x v="29"/>
    <x v="29"/>
    <x v="11"/>
    <x v="74"/>
    <x v="78"/>
    <x v="79"/>
    <x v="82"/>
    <x v="73"/>
    <x v="72"/>
    <x v="1"/>
  </r>
  <r>
    <x v="0"/>
    <x v="4"/>
    <x v="4"/>
    <x v="24"/>
    <x v="24"/>
    <x v="24"/>
    <x v="13"/>
    <x v="75"/>
    <x v="79"/>
    <x v="59"/>
    <x v="75"/>
    <x v="75"/>
    <x v="76"/>
    <x v="1"/>
  </r>
  <r>
    <x v="0"/>
    <x v="4"/>
    <x v="4"/>
    <x v="9"/>
    <x v="9"/>
    <x v="9"/>
    <x v="13"/>
    <x v="75"/>
    <x v="79"/>
    <x v="81"/>
    <x v="86"/>
    <x v="56"/>
    <x v="77"/>
    <x v="1"/>
  </r>
  <r>
    <x v="0"/>
    <x v="4"/>
    <x v="4"/>
    <x v="15"/>
    <x v="15"/>
    <x v="15"/>
    <x v="15"/>
    <x v="76"/>
    <x v="13"/>
    <x v="82"/>
    <x v="87"/>
    <x v="41"/>
    <x v="78"/>
    <x v="1"/>
  </r>
  <r>
    <x v="0"/>
    <x v="4"/>
    <x v="4"/>
    <x v="4"/>
    <x v="4"/>
    <x v="4"/>
    <x v="15"/>
    <x v="76"/>
    <x v="13"/>
    <x v="59"/>
    <x v="75"/>
    <x v="64"/>
    <x v="79"/>
    <x v="1"/>
  </r>
  <r>
    <x v="0"/>
    <x v="4"/>
    <x v="4"/>
    <x v="21"/>
    <x v="21"/>
    <x v="21"/>
    <x v="17"/>
    <x v="77"/>
    <x v="80"/>
    <x v="82"/>
    <x v="87"/>
    <x v="76"/>
    <x v="80"/>
    <x v="6"/>
  </r>
  <r>
    <x v="0"/>
    <x v="4"/>
    <x v="4"/>
    <x v="30"/>
    <x v="30"/>
    <x v="30"/>
    <x v="18"/>
    <x v="78"/>
    <x v="18"/>
    <x v="60"/>
    <x v="35"/>
    <x v="67"/>
    <x v="74"/>
    <x v="1"/>
  </r>
  <r>
    <x v="0"/>
    <x v="4"/>
    <x v="4"/>
    <x v="31"/>
    <x v="31"/>
    <x v="31"/>
    <x v="19"/>
    <x v="79"/>
    <x v="81"/>
    <x v="83"/>
    <x v="88"/>
    <x v="56"/>
    <x v="77"/>
    <x v="1"/>
  </r>
  <r>
    <x v="0"/>
    <x v="5"/>
    <x v="5"/>
    <x v="6"/>
    <x v="6"/>
    <x v="6"/>
    <x v="0"/>
    <x v="80"/>
    <x v="82"/>
    <x v="84"/>
    <x v="89"/>
    <x v="77"/>
    <x v="10"/>
    <x v="1"/>
  </r>
  <r>
    <x v="0"/>
    <x v="5"/>
    <x v="5"/>
    <x v="0"/>
    <x v="0"/>
    <x v="0"/>
    <x v="1"/>
    <x v="81"/>
    <x v="83"/>
    <x v="73"/>
    <x v="90"/>
    <x v="78"/>
    <x v="81"/>
    <x v="1"/>
  </r>
  <r>
    <x v="0"/>
    <x v="5"/>
    <x v="5"/>
    <x v="20"/>
    <x v="20"/>
    <x v="20"/>
    <x v="2"/>
    <x v="82"/>
    <x v="84"/>
    <x v="85"/>
    <x v="91"/>
    <x v="79"/>
    <x v="82"/>
    <x v="1"/>
  </r>
  <r>
    <x v="0"/>
    <x v="5"/>
    <x v="5"/>
    <x v="4"/>
    <x v="4"/>
    <x v="4"/>
    <x v="3"/>
    <x v="83"/>
    <x v="42"/>
    <x v="55"/>
    <x v="65"/>
    <x v="80"/>
    <x v="83"/>
    <x v="1"/>
  </r>
  <r>
    <x v="0"/>
    <x v="5"/>
    <x v="5"/>
    <x v="19"/>
    <x v="19"/>
    <x v="19"/>
    <x v="4"/>
    <x v="84"/>
    <x v="59"/>
    <x v="67"/>
    <x v="58"/>
    <x v="81"/>
    <x v="84"/>
    <x v="1"/>
  </r>
  <r>
    <x v="0"/>
    <x v="5"/>
    <x v="5"/>
    <x v="27"/>
    <x v="27"/>
    <x v="27"/>
    <x v="5"/>
    <x v="85"/>
    <x v="85"/>
    <x v="86"/>
    <x v="92"/>
    <x v="82"/>
    <x v="85"/>
    <x v="1"/>
  </r>
  <r>
    <x v="0"/>
    <x v="5"/>
    <x v="5"/>
    <x v="32"/>
    <x v="32"/>
    <x v="32"/>
    <x v="6"/>
    <x v="86"/>
    <x v="60"/>
    <x v="87"/>
    <x v="93"/>
    <x v="83"/>
    <x v="86"/>
    <x v="1"/>
  </r>
  <r>
    <x v="0"/>
    <x v="5"/>
    <x v="5"/>
    <x v="21"/>
    <x v="21"/>
    <x v="21"/>
    <x v="7"/>
    <x v="87"/>
    <x v="86"/>
    <x v="75"/>
    <x v="32"/>
    <x v="84"/>
    <x v="87"/>
    <x v="6"/>
  </r>
  <r>
    <x v="0"/>
    <x v="5"/>
    <x v="5"/>
    <x v="1"/>
    <x v="1"/>
    <x v="1"/>
    <x v="8"/>
    <x v="88"/>
    <x v="87"/>
    <x v="88"/>
    <x v="94"/>
    <x v="43"/>
    <x v="88"/>
    <x v="1"/>
  </r>
  <r>
    <x v="0"/>
    <x v="5"/>
    <x v="5"/>
    <x v="17"/>
    <x v="17"/>
    <x v="17"/>
    <x v="9"/>
    <x v="89"/>
    <x v="46"/>
    <x v="89"/>
    <x v="95"/>
    <x v="69"/>
    <x v="89"/>
    <x v="1"/>
  </r>
  <r>
    <x v="0"/>
    <x v="5"/>
    <x v="5"/>
    <x v="13"/>
    <x v="13"/>
    <x v="13"/>
    <x v="10"/>
    <x v="90"/>
    <x v="88"/>
    <x v="60"/>
    <x v="15"/>
    <x v="85"/>
    <x v="90"/>
    <x v="1"/>
  </r>
  <r>
    <x v="0"/>
    <x v="5"/>
    <x v="5"/>
    <x v="3"/>
    <x v="3"/>
    <x v="3"/>
    <x v="11"/>
    <x v="91"/>
    <x v="89"/>
    <x v="90"/>
    <x v="96"/>
    <x v="69"/>
    <x v="89"/>
    <x v="1"/>
  </r>
  <r>
    <x v="0"/>
    <x v="5"/>
    <x v="5"/>
    <x v="33"/>
    <x v="33"/>
    <x v="33"/>
    <x v="12"/>
    <x v="92"/>
    <x v="90"/>
    <x v="72"/>
    <x v="97"/>
    <x v="86"/>
    <x v="91"/>
    <x v="1"/>
  </r>
  <r>
    <x v="0"/>
    <x v="5"/>
    <x v="5"/>
    <x v="5"/>
    <x v="5"/>
    <x v="5"/>
    <x v="13"/>
    <x v="93"/>
    <x v="91"/>
    <x v="91"/>
    <x v="98"/>
    <x v="74"/>
    <x v="27"/>
    <x v="1"/>
  </r>
  <r>
    <x v="0"/>
    <x v="5"/>
    <x v="5"/>
    <x v="34"/>
    <x v="34"/>
    <x v="34"/>
    <x v="14"/>
    <x v="94"/>
    <x v="30"/>
    <x v="82"/>
    <x v="99"/>
    <x v="57"/>
    <x v="92"/>
    <x v="1"/>
  </r>
  <r>
    <x v="0"/>
    <x v="5"/>
    <x v="5"/>
    <x v="35"/>
    <x v="35"/>
    <x v="35"/>
    <x v="14"/>
    <x v="94"/>
    <x v="30"/>
    <x v="75"/>
    <x v="32"/>
    <x v="83"/>
    <x v="86"/>
    <x v="1"/>
  </r>
  <r>
    <x v="0"/>
    <x v="5"/>
    <x v="5"/>
    <x v="36"/>
    <x v="36"/>
    <x v="36"/>
    <x v="16"/>
    <x v="44"/>
    <x v="31"/>
    <x v="50"/>
    <x v="100"/>
    <x v="57"/>
    <x v="92"/>
    <x v="1"/>
  </r>
  <r>
    <x v="0"/>
    <x v="5"/>
    <x v="5"/>
    <x v="12"/>
    <x v="12"/>
    <x v="12"/>
    <x v="17"/>
    <x v="95"/>
    <x v="32"/>
    <x v="59"/>
    <x v="101"/>
    <x v="87"/>
    <x v="93"/>
    <x v="1"/>
  </r>
  <r>
    <x v="0"/>
    <x v="5"/>
    <x v="5"/>
    <x v="37"/>
    <x v="37"/>
    <x v="37"/>
    <x v="18"/>
    <x v="96"/>
    <x v="51"/>
    <x v="68"/>
    <x v="102"/>
    <x v="88"/>
    <x v="94"/>
    <x v="1"/>
  </r>
  <r>
    <x v="0"/>
    <x v="5"/>
    <x v="5"/>
    <x v="8"/>
    <x v="8"/>
    <x v="8"/>
    <x v="19"/>
    <x v="97"/>
    <x v="34"/>
    <x v="92"/>
    <x v="103"/>
    <x v="89"/>
    <x v="95"/>
    <x v="1"/>
  </r>
  <r>
    <x v="0"/>
    <x v="6"/>
    <x v="6"/>
    <x v="0"/>
    <x v="0"/>
    <x v="0"/>
    <x v="0"/>
    <x v="41"/>
    <x v="92"/>
    <x v="87"/>
    <x v="104"/>
    <x v="90"/>
    <x v="96"/>
    <x v="1"/>
  </r>
  <r>
    <x v="0"/>
    <x v="6"/>
    <x v="6"/>
    <x v="33"/>
    <x v="33"/>
    <x v="33"/>
    <x v="1"/>
    <x v="98"/>
    <x v="93"/>
    <x v="66"/>
    <x v="41"/>
    <x v="91"/>
    <x v="97"/>
    <x v="1"/>
  </r>
  <r>
    <x v="0"/>
    <x v="6"/>
    <x v="6"/>
    <x v="5"/>
    <x v="5"/>
    <x v="5"/>
    <x v="2"/>
    <x v="99"/>
    <x v="94"/>
    <x v="44"/>
    <x v="105"/>
    <x v="63"/>
    <x v="98"/>
    <x v="1"/>
  </r>
  <r>
    <x v="0"/>
    <x v="6"/>
    <x v="6"/>
    <x v="1"/>
    <x v="1"/>
    <x v="1"/>
    <x v="3"/>
    <x v="100"/>
    <x v="72"/>
    <x v="43"/>
    <x v="106"/>
    <x v="61"/>
    <x v="99"/>
    <x v="1"/>
  </r>
  <r>
    <x v="0"/>
    <x v="6"/>
    <x v="6"/>
    <x v="3"/>
    <x v="3"/>
    <x v="3"/>
    <x v="4"/>
    <x v="62"/>
    <x v="95"/>
    <x v="93"/>
    <x v="107"/>
    <x v="56"/>
    <x v="11"/>
    <x v="1"/>
  </r>
  <r>
    <x v="0"/>
    <x v="6"/>
    <x v="6"/>
    <x v="6"/>
    <x v="6"/>
    <x v="6"/>
    <x v="5"/>
    <x v="101"/>
    <x v="22"/>
    <x v="47"/>
    <x v="108"/>
    <x v="74"/>
    <x v="6"/>
    <x v="1"/>
  </r>
  <r>
    <x v="0"/>
    <x v="6"/>
    <x v="6"/>
    <x v="8"/>
    <x v="8"/>
    <x v="8"/>
    <x v="6"/>
    <x v="102"/>
    <x v="96"/>
    <x v="94"/>
    <x v="109"/>
    <x v="54"/>
    <x v="100"/>
    <x v="6"/>
  </r>
  <r>
    <x v="0"/>
    <x v="6"/>
    <x v="6"/>
    <x v="2"/>
    <x v="2"/>
    <x v="2"/>
    <x v="7"/>
    <x v="65"/>
    <x v="25"/>
    <x v="72"/>
    <x v="83"/>
    <x v="69"/>
    <x v="40"/>
    <x v="1"/>
  </r>
  <r>
    <x v="0"/>
    <x v="6"/>
    <x v="6"/>
    <x v="7"/>
    <x v="7"/>
    <x v="7"/>
    <x v="8"/>
    <x v="50"/>
    <x v="97"/>
    <x v="95"/>
    <x v="110"/>
    <x v="73"/>
    <x v="72"/>
    <x v="1"/>
  </r>
  <r>
    <x v="0"/>
    <x v="6"/>
    <x v="6"/>
    <x v="14"/>
    <x v="14"/>
    <x v="14"/>
    <x v="9"/>
    <x v="66"/>
    <x v="28"/>
    <x v="58"/>
    <x v="111"/>
    <x v="74"/>
    <x v="6"/>
    <x v="1"/>
  </r>
  <r>
    <x v="0"/>
    <x v="6"/>
    <x v="6"/>
    <x v="38"/>
    <x v="38"/>
    <x v="38"/>
    <x v="10"/>
    <x v="58"/>
    <x v="98"/>
    <x v="53"/>
    <x v="37"/>
    <x v="53"/>
    <x v="101"/>
    <x v="1"/>
  </r>
  <r>
    <x v="0"/>
    <x v="6"/>
    <x v="6"/>
    <x v="39"/>
    <x v="39"/>
    <x v="39"/>
    <x v="11"/>
    <x v="70"/>
    <x v="30"/>
    <x v="96"/>
    <x v="112"/>
    <x v="69"/>
    <x v="40"/>
    <x v="1"/>
  </r>
  <r>
    <x v="0"/>
    <x v="6"/>
    <x v="6"/>
    <x v="40"/>
    <x v="40"/>
    <x v="40"/>
    <x v="12"/>
    <x v="71"/>
    <x v="99"/>
    <x v="46"/>
    <x v="49"/>
    <x v="75"/>
    <x v="102"/>
    <x v="1"/>
  </r>
  <r>
    <x v="0"/>
    <x v="6"/>
    <x v="6"/>
    <x v="41"/>
    <x v="41"/>
    <x v="41"/>
    <x v="13"/>
    <x v="103"/>
    <x v="66"/>
    <x v="80"/>
    <x v="113"/>
    <x v="63"/>
    <x v="98"/>
    <x v="1"/>
  </r>
  <r>
    <x v="0"/>
    <x v="6"/>
    <x v="6"/>
    <x v="42"/>
    <x v="42"/>
    <x v="42"/>
    <x v="14"/>
    <x v="104"/>
    <x v="53"/>
    <x v="59"/>
    <x v="114"/>
    <x v="50"/>
    <x v="103"/>
    <x v="1"/>
  </r>
  <r>
    <x v="0"/>
    <x v="6"/>
    <x v="6"/>
    <x v="43"/>
    <x v="43"/>
    <x v="43"/>
    <x v="14"/>
    <x v="104"/>
    <x v="53"/>
    <x v="97"/>
    <x v="115"/>
    <x v="74"/>
    <x v="6"/>
    <x v="1"/>
  </r>
  <r>
    <x v="0"/>
    <x v="6"/>
    <x v="6"/>
    <x v="9"/>
    <x v="9"/>
    <x v="9"/>
    <x v="14"/>
    <x v="104"/>
    <x v="53"/>
    <x v="96"/>
    <x v="112"/>
    <x v="46"/>
    <x v="104"/>
    <x v="1"/>
  </r>
  <r>
    <x v="0"/>
    <x v="6"/>
    <x v="6"/>
    <x v="16"/>
    <x v="16"/>
    <x v="16"/>
    <x v="17"/>
    <x v="72"/>
    <x v="17"/>
    <x v="59"/>
    <x v="114"/>
    <x v="47"/>
    <x v="16"/>
    <x v="1"/>
  </r>
  <r>
    <x v="0"/>
    <x v="6"/>
    <x v="6"/>
    <x v="13"/>
    <x v="13"/>
    <x v="13"/>
    <x v="17"/>
    <x v="72"/>
    <x v="17"/>
    <x v="53"/>
    <x v="37"/>
    <x v="55"/>
    <x v="105"/>
    <x v="1"/>
  </r>
  <r>
    <x v="0"/>
    <x v="6"/>
    <x v="6"/>
    <x v="11"/>
    <x v="11"/>
    <x v="11"/>
    <x v="17"/>
    <x v="72"/>
    <x v="17"/>
    <x v="80"/>
    <x v="113"/>
    <x v="73"/>
    <x v="72"/>
    <x v="6"/>
  </r>
  <r>
    <x v="0"/>
    <x v="6"/>
    <x v="6"/>
    <x v="44"/>
    <x v="44"/>
    <x v="44"/>
    <x v="17"/>
    <x v="72"/>
    <x v="17"/>
    <x v="97"/>
    <x v="115"/>
    <x v="61"/>
    <x v="99"/>
    <x v="1"/>
  </r>
  <r>
    <x v="0"/>
    <x v="7"/>
    <x v="7"/>
    <x v="0"/>
    <x v="0"/>
    <x v="0"/>
    <x v="0"/>
    <x v="105"/>
    <x v="100"/>
    <x v="92"/>
    <x v="116"/>
    <x v="92"/>
    <x v="106"/>
    <x v="1"/>
  </r>
  <r>
    <x v="0"/>
    <x v="7"/>
    <x v="7"/>
    <x v="5"/>
    <x v="5"/>
    <x v="5"/>
    <x v="1"/>
    <x v="46"/>
    <x v="101"/>
    <x v="98"/>
    <x v="117"/>
    <x v="56"/>
    <x v="27"/>
    <x v="1"/>
  </r>
  <r>
    <x v="0"/>
    <x v="7"/>
    <x v="7"/>
    <x v="1"/>
    <x v="1"/>
    <x v="1"/>
    <x v="2"/>
    <x v="64"/>
    <x v="102"/>
    <x v="65"/>
    <x v="118"/>
    <x v="44"/>
    <x v="107"/>
    <x v="1"/>
  </r>
  <r>
    <x v="0"/>
    <x v="7"/>
    <x v="7"/>
    <x v="3"/>
    <x v="3"/>
    <x v="3"/>
    <x v="3"/>
    <x v="101"/>
    <x v="103"/>
    <x v="65"/>
    <x v="118"/>
    <x v="56"/>
    <x v="27"/>
    <x v="1"/>
  </r>
  <r>
    <x v="0"/>
    <x v="7"/>
    <x v="7"/>
    <x v="7"/>
    <x v="7"/>
    <x v="7"/>
    <x v="4"/>
    <x v="69"/>
    <x v="104"/>
    <x v="99"/>
    <x v="119"/>
    <x v="56"/>
    <x v="27"/>
    <x v="1"/>
  </r>
  <r>
    <x v="0"/>
    <x v="7"/>
    <x v="7"/>
    <x v="8"/>
    <x v="8"/>
    <x v="8"/>
    <x v="5"/>
    <x v="66"/>
    <x v="105"/>
    <x v="100"/>
    <x v="120"/>
    <x v="72"/>
    <x v="1"/>
    <x v="1"/>
  </r>
  <r>
    <x v="0"/>
    <x v="7"/>
    <x v="7"/>
    <x v="6"/>
    <x v="6"/>
    <x v="6"/>
    <x v="6"/>
    <x v="53"/>
    <x v="106"/>
    <x v="101"/>
    <x v="121"/>
    <x v="67"/>
    <x v="108"/>
    <x v="1"/>
  </r>
  <r>
    <x v="0"/>
    <x v="7"/>
    <x v="7"/>
    <x v="14"/>
    <x v="14"/>
    <x v="14"/>
    <x v="7"/>
    <x v="106"/>
    <x v="107"/>
    <x v="58"/>
    <x v="122"/>
    <x v="44"/>
    <x v="107"/>
    <x v="1"/>
  </r>
  <r>
    <x v="0"/>
    <x v="7"/>
    <x v="7"/>
    <x v="2"/>
    <x v="2"/>
    <x v="2"/>
    <x v="7"/>
    <x v="106"/>
    <x v="107"/>
    <x v="102"/>
    <x v="123"/>
    <x v="46"/>
    <x v="109"/>
    <x v="1"/>
  </r>
  <r>
    <x v="0"/>
    <x v="7"/>
    <x v="7"/>
    <x v="15"/>
    <x v="15"/>
    <x v="15"/>
    <x v="9"/>
    <x v="57"/>
    <x v="8"/>
    <x v="60"/>
    <x v="124"/>
    <x v="58"/>
    <x v="110"/>
    <x v="1"/>
  </r>
  <r>
    <x v="0"/>
    <x v="7"/>
    <x v="7"/>
    <x v="11"/>
    <x v="11"/>
    <x v="11"/>
    <x v="10"/>
    <x v="58"/>
    <x v="48"/>
    <x v="58"/>
    <x v="122"/>
    <x v="73"/>
    <x v="72"/>
    <x v="1"/>
  </r>
  <r>
    <x v="0"/>
    <x v="7"/>
    <x v="7"/>
    <x v="24"/>
    <x v="24"/>
    <x v="24"/>
    <x v="11"/>
    <x v="107"/>
    <x v="12"/>
    <x v="60"/>
    <x v="124"/>
    <x v="41"/>
    <x v="111"/>
    <x v="1"/>
  </r>
  <r>
    <x v="0"/>
    <x v="7"/>
    <x v="7"/>
    <x v="10"/>
    <x v="10"/>
    <x v="10"/>
    <x v="11"/>
    <x v="107"/>
    <x v="12"/>
    <x v="97"/>
    <x v="125"/>
    <x v="69"/>
    <x v="112"/>
    <x v="1"/>
  </r>
  <r>
    <x v="0"/>
    <x v="7"/>
    <x v="7"/>
    <x v="19"/>
    <x v="19"/>
    <x v="19"/>
    <x v="13"/>
    <x v="72"/>
    <x v="50"/>
    <x v="59"/>
    <x v="92"/>
    <x v="47"/>
    <x v="113"/>
    <x v="1"/>
  </r>
  <r>
    <x v="0"/>
    <x v="7"/>
    <x v="7"/>
    <x v="45"/>
    <x v="45"/>
    <x v="45"/>
    <x v="13"/>
    <x v="72"/>
    <x v="50"/>
    <x v="64"/>
    <x v="14"/>
    <x v="74"/>
    <x v="114"/>
    <x v="1"/>
  </r>
  <r>
    <x v="0"/>
    <x v="7"/>
    <x v="7"/>
    <x v="40"/>
    <x v="40"/>
    <x v="40"/>
    <x v="15"/>
    <x v="73"/>
    <x v="108"/>
    <x v="60"/>
    <x v="124"/>
    <x v="76"/>
    <x v="115"/>
    <x v="1"/>
  </r>
  <r>
    <x v="0"/>
    <x v="7"/>
    <x v="7"/>
    <x v="16"/>
    <x v="16"/>
    <x v="16"/>
    <x v="16"/>
    <x v="74"/>
    <x v="52"/>
    <x v="75"/>
    <x v="126"/>
    <x v="47"/>
    <x v="113"/>
    <x v="1"/>
  </r>
  <r>
    <x v="0"/>
    <x v="7"/>
    <x v="7"/>
    <x v="38"/>
    <x v="38"/>
    <x v="38"/>
    <x v="17"/>
    <x v="108"/>
    <x v="109"/>
    <x v="53"/>
    <x v="127"/>
    <x v="47"/>
    <x v="113"/>
    <x v="1"/>
  </r>
  <r>
    <x v="0"/>
    <x v="7"/>
    <x v="7"/>
    <x v="46"/>
    <x v="46"/>
    <x v="46"/>
    <x v="18"/>
    <x v="75"/>
    <x v="16"/>
    <x v="82"/>
    <x v="128"/>
    <x v="47"/>
    <x v="113"/>
    <x v="1"/>
  </r>
  <r>
    <x v="0"/>
    <x v="7"/>
    <x v="7"/>
    <x v="33"/>
    <x v="33"/>
    <x v="33"/>
    <x v="18"/>
    <x v="75"/>
    <x v="16"/>
    <x v="59"/>
    <x v="92"/>
    <x v="75"/>
    <x v="15"/>
    <x v="1"/>
  </r>
  <r>
    <x v="0"/>
    <x v="7"/>
    <x v="7"/>
    <x v="23"/>
    <x v="23"/>
    <x v="23"/>
    <x v="18"/>
    <x v="75"/>
    <x v="16"/>
    <x v="86"/>
    <x v="129"/>
    <x v="48"/>
    <x v="116"/>
    <x v="1"/>
  </r>
  <r>
    <x v="0"/>
    <x v="8"/>
    <x v="8"/>
    <x v="0"/>
    <x v="0"/>
    <x v="0"/>
    <x v="0"/>
    <x v="109"/>
    <x v="110"/>
    <x v="61"/>
    <x v="130"/>
    <x v="93"/>
    <x v="117"/>
    <x v="1"/>
  </r>
  <r>
    <x v="0"/>
    <x v="8"/>
    <x v="8"/>
    <x v="17"/>
    <x v="17"/>
    <x v="17"/>
    <x v="1"/>
    <x v="110"/>
    <x v="100"/>
    <x v="103"/>
    <x v="131"/>
    <x v="56"/>
    <x v="118"/>
    <x v="1"/>
  </r>
  <r>
    <x v="0"/>
    <x v="8"/>
    <x v="8"/>
    <x v="4"/>
    <x v="4"/>
    <x v="4"/>
    <x v="2"/>
    <x v="111"/>
    <x v="111"/>
    <x v="104"/>
    <x v="132"/>
    <x v="94"/>
    <x v="119"/>
    <x v="1"/>
  </r>
  <r>
    <x v="0"/>
    <x v="8"/>
    <x v="8"/>
    <x v="2"/>
    <x v="2"/>
    <x v="2"/>
    <x v="3"/>
    <x v="112"/>
    <x v="112"/>
    <x v="105"/>
    <x v="133"/>
    <x v="41"/>
    <x v="100"/>
    <x v="1"/>
  </r>
  <r>
    <x v="0"/>
    <x v="8"/>
    <x v="8"/>
    <x v="6"/>
    <x v="6"/>
    <x v="6"/>
    <x v="4"/>
    <x v="98"/>
    <x v="113"/>
    <x v="44"/>
    <x v="134"/>
    <x v="47"/>
    <x v="120"/>
    <x v="1"/>
  </r>
  <r>
    <x v="0"/>
    <x v="8"/>
    <x v="8"/>
    <x v="1"/>
    <x v="1"/>
    <x v="1"/>
    <x v="5"/>
    <x v="113"/>
    <x v="114"/>
    <x v="106"/>
    <x v="135"/>
    <x v="42"/>
    <x v="91"/>
    <x v="1"/>
  </r>
  <r>
    <x v="0"/>
    <x v="8"/>
    <x v="8"/>
    <x v="19"/>
    <x v="19"/>
    <x v="19"/>
    <x v="6"/>
    <x v="97"/>
    <x v="4"/>
    <x v="86"/>
    <x v="136"/>
    <x v="95"/>
    <x v="121"/>
    <x v="1"/>
  </r>
  <r>
    <x v="0"/>
    <x v="8"/>
    <x v="8"/>
    <x v="22"/>
    <x v="22"/>
    <x v="22"/>
    <x v="7"/>
    <x v="45"/>
    <x v="25"/>
    <x v="64"/>
    <x v="35"/>
    <x v="96"/>
    <x v="122"/>
    <x v="1"/>
  </r>
  <r>
    <x v="0"/>
    <x v="8"/>
    <x v="8"/>
    <x v="8"/>
    <x v="8"/>
    <x v="8"/>
    <x v="8"/>
    <x v="114"/>
    <x v="115"/>
    <x v="70"/>
    <x v="137"/>
    <x v="97"/>
    <x v="123"/>
    <x v="1"/>
  </r>
  <r>
    <x v="0"/>
    <x v="8"/>
    <x v="8"/>
    <x v="3"/>
    <x v="3"/>
    <x v="3"/>
    <x v="9"/>
    <x v="63"/>
    <x v="106"/>
    <x v="66"/>
    <x v="138"/>
    <x v="61"/>
    <x v="3"/>
    <x v="1"/>
  </r>
  <r>
    <x v="0"/>
    <x v="8"/>
    <x v="8"/>
    <x v="18"/>
    <x v="18"/>
    <x v="18"/>
    <x v="10"/>
    <x v="115"/>
    <x v="116"/>
    <x v="107"/>
    <x v="139"/>
    <x v="98"/>
    <x v="124"/>
    <x v="1"/>
  </r>
  <r>
    <x v="0"/>
    <x v="8"/>
    <x v="8"/>
    <x v="13"/>
    <x v="13"/>
    <x v="13"/>
    <x v="10"/>
    <x v="115"/>
    <x v="116"/>
    <x v="55"/>
    <x v="140"/>
    <x v="99"/>
    <x v="125"/>
    <x v="1"/>
  </r>
  <r>
    <x v="0"/>
    <x v="8"/>
    <x v="8"/>
    <x v="9"/>
    <x v="9"/>
    <x v="9"/>
    <x v="10"/>
    <x v="115"/>
    <x v="116"/>
    <x v="72"/>
    <x v="141"/>
    <x v="55"/>
    <x v="126"/>
    <x v="6"/>
  </r>
  <r>
    <x v="0"/>
    <x v="8"/>
    <x v="8"/>
    <x v="5"/>
    <x v="5"/>
    <x v="5"/>
    <x v="13"/>
    <x v="116"/>
    <x v="117"/>
    <x v="98"/>
    <x v="142"/>
    <x v="63"/>
    <x v="27"/>
    <x v="1"/>
  </r>
  <r>
    <x v="0"/>
    <x v="8"/>
    <x v="8"/>
    <x v="20"/>
    <x v="20"/>
    <x v="20"/>
    <x v="14"/>
    <x v="117"/>
    <x v="118"/>
    <x v="54"/>
    <x v="143"/>
    <x v="51"/>
    <x v="103"/>
    <x v="1"/>
  </r>
  <r>
    <x v="0"/>
    <x v="8"/>
    <x v="8"/>
    <x v="12"/>
    <x v="12"/>
    <x v="12"/>
    <x v="15"/>
    <x v="118"/>
    <x v="119"/>
    <x v="68"/>
    <x v="144"/>
    <x v="100"/>
    <x v="127"/>
    <x v="6"/>
  </r>
  <r>
    <x v="0"/>
    <x v="8"/>
    <x v="8"/>
    <x v="35"/>
    <x v="35"/>
    <x v="35"/>
    <x v="16"/>
    <x v="119"/>
    <x v="120"/>
    <x v="59"/>
    <x v="65"/>
    <x v="101"/>
    <x v="128"/>
    <x v="1"/>
  </r>
  <r>
    <x v="0"/>
    <x v="8"/>
    <x v="8"/>
    <x v="47"/>
    <x v="47"/>
    <x v="47"/>
    <x v="17"/>
    <x v="51"/>
    <x v="33"/>
    <x v="52"/>
    <x v="145"/>
    <x v="55"/>
    <x v="126"/>
    <x v="1"/>
  </r>
  <r>
    <x v="0"/>
    <x v="8"/>
    <x v="8"/>
    <x v="36"/>
    <x v="36"/>
    <x v="36"/>
    <x v="18"/>
    <x v="54"/>
    <x v="36"/>
    <x v="50"/>
    <x v="48"/>
    <x v="77"/>
    <x v="129"/>
    <x v="1"/>
  </r>
  <r>
    <x v="0"/>
    <x v="8"/>
    <x v="8"/>
    <x v="10"/>
    <x v="10"/>
    <x v="10"/>
    <x v="19"/>
    <x v="55"/>
    <x v="53"/>
    <x v="81"/>
    <x v="146"/>
    <x v="52"/>
    <x v="130"/>
    <x v="1"/>
  </r>
  <r>
    <x v="0"/>
    <x v="9"/>
    <x v="9"/>
    <x v="0"/>
    <x v="0"/>
    <x v="0"/>
    <x v="0"/>
    <x v="120"/>
    <x v="121"/>
    <x v="98"/>
    <x v="107"/>
    <x v="102"/>
    <x v="131"/>
    <x v="1"/>
  </r>
  <r>
    <x v="0"/>
    <x v="9"/>
    <x v="9"/>
    <x v="4"/>
    <x v="4"/>
    <x v="4"/>
    <x v="1"/>
    <x v="89"/>
    <x v="122"/>
    <x v="81"/>
    <x v="36"/>
    <x v="103"/>
    <x v="55"/>
    <x v="1"/>
  </r>
  <r>
    <x v="0"/>
    <x v="9"/>
    <x v="9"/>
    <x v="6"/>
    <x v="6"/>
    <x v="6"/>
    <x v="2"/>
    <x v="43"/>
    <x v="123"/>
    <x v="108"/>
    <x v="147"/>
    <x v="97"/>
    <x v="43"/>
    <x v="1"/>
  </r>
  <r>
    <x v="0"/>
    <x v="9"/>
    <x v="9"/>
    <x v="5"/>
    <x v="5"/>
    <x v="5"/>
    <x v="3"/>
    <x v="121"/>
    <x v="124"/>
    <x v="109"/>
    <x v="148"/>
    <x v="61"/>
    <x v="132"/>
    <x v="1"/>
  </r>
  <r>
    <x v="0"/>
    <x v="9"/>
    <x v="9"/>
    <x v="19"/>
    <x v="19"/>
    <x v="19"/>
    <x v="4"/>
    <x v="44"/>
    <x v="125"/>
    <x v="81"/>
    <x v="36"/>
    <x v="104"/>
    <x v="133"/>
    <x v="1"/>
  </r>
  <r>
    <x v="0"/>
    <x v="9"/>
    <x v="9"/>
    <x v="25"/>
    <x v="25"/>
    <x v="25"/>
    <x v="5"/>
    <x v="122"/>
    <x v="126"/>
    <x v="99"/>
    <x v="149"/>
    <x v="65"/>
    <x v="134"/>
    <x v="1"/>
  </r>
  <r>
    <x v="0"/>
    <x v="9"/>
    <x v="9"/>
    <x v="8"/>
    <x v="8"/>
    <x v="8"/>
    <x v="6"/>
    <x v="64"/>
    <x v="127"/>
    <x v="110"/>
    <x v="150"/>
    <x v="97"/>
    <x v="43"/>
    <x v="1"/>
  </r>
  <r>
    <x v="0"/>
    <x v="9"/>
    <x v="9"/>
    <x v="3"/>
    <x v="3"/>
    <x v="3"/>
    <x v="7"/>
    <x v="101"/>
    <x v="76"/>
    <x v="94"/>
    <x v="119"/>
    <x v="43"/>
    <x v="135"/>
    <x v="1"/>
  </r>
  <r>
    <x v="0"/>
    <x v="9"/>
    <x v="9"/>
    <x v="43"/>
    <x v="43"/>
    <x v="43"/>
    <x v="8"/>
    <x v="123"/>
    <x v="118"/>
    <x v="51"/>
    <x v="151"/>
    <x v="105"/>
    <x v="136"/>
    <x v="1"/>
  </r>
  <r>
    <x v="0"/>
    <x v="9"/>
    <x v="9"/>
    <x v="13"/>
    <x v="13"/>
    <x v="13"/>
    <x v="9"/>
    <x v="124"/>
    <x v="89"/>
    <x v="71"/>
    <x v="152"/>
    <x v="106"/>
    <x v="137"/>
    <x v="1"/>
  </r>
  <r>
    <x v="0"/>
    <x v="9"/>
    <x v="9"/>
    <x v="27"/>
    <x v="27"/>
    <x v="27"/>
    <x v="10"/>
    <x v="69"/>
    <x v="90"/>
    <x v="74"/>
    <x v="153"/>
    <x v="65"/>
    <x v="134"/>
    <x v="1"/>
  </r>
  <r>
    <x v="0"/>
    <x v="9"/>
    <x v="9"/>
    <x v="48"/>
    <x v="48"/>
    <x v="48"/>
    <x v="11"/>
    <x v="54"/>
    <x v="64"/>
    <x v="68"/>
    <x v="57"/>
    <x v="105"/>
    <x v="136"/>
    <x v="1"/>
  </r>
  <r>
    <x v="0"/>
    <x v="9"/>
    <x v="9"/>
    <x v="49"/>
    <x v="49"/>
    <x v="49"/>
    <x v="12"/>
    <x v="56"/>
    <x v="50"/>
    <x v="67"/>
    <x v="154"/>
    <x v="55"/>
    <x v="138"/>
    <x v="1"/>
  </r>
  <r>
    <x v="0"/>
    <x v="9"/>
    <x v="9"/>
    <x v="1"/>
    <x v="1"/>
    <x v="1"/>
    <x v="12"/>
    <x v="56"/>
    <x v="50"/>
    <x v="58"/>
    <x v="11"/>
    <x v="63"/>
    <x v="89"/>
    <x v="1"/>
  </r>
  <r>
    <x v="0"/>
    <x v="9"/>
    <x v="9"/>
    <x v="26"/>
    <x v="26"/>
    <x v="26"/>
    <x v="14"/>
    <x v="57"/>
    <x v="66"/>
    <x v="71"/>
    <x v="152"/>
    <x v="68"/>
    <x v="139"/>
    <x v="1"/>
  </r>
  <r>
    <x v="0"/>
    <x v="9"/>
    <x v="9"/>
    <x v="12"/>
    <x v="12"/>
    <x v="12"/>
    <x v="15"/>
    <x v="67"/>
    <x v="67"/>
    <x v="82"/>
    <x v="155"/>
    <x v="107"/>
    <x v="111"/>
    <x v="1"/>
  </r>
  <r>
    <x v="0"/>
    <x v="9"/>
    <x v="9"/>
    <x v="11"/>
    <x v="11"/>
    <x v="11"/>
    <x v="16"/>
    <x v="58"/>
    <x v="36"/>
    <x v="102"/>
    <x v="156"/>
    <x v="56"/>
    <x v="33"/>
    <x v="1"/>
  </r>
  <r>
    <x v="0"/>
    <x v="9"/>
    <x v="9"/>
    <x v="2"/>
    <x v="2"/>
    <x v="2"/>
    <x v="16"/>
    <x v="58"/>
    <x v="36"/>
    <x v="56"/>
    <x v="157"/>
    <x v="72"/>
    <x v="3"/>
    <x v="1"/>
  </r>
  <r>
    <x v="0"/>
    <x v="9"/>
    <x v="9"/>
    <x v="16"/>
    <x v="16"/>
    <x v="16"/>
    <x v="18"/>
    <x v="70"/>
    <x v="15"/>
    <x v="111"/>
    <x v="158"/>
    <x v="107"/>
    <x v="111"/>
    <x v="1"/>
  </r>
  <r>
    <x v="0"/>
    <x v="9"/>
    <x v="9"/>
    <x v="23"/>
    <x v="23"/>
    <x v="23"/>
    <x v="19"/>
    <x v="68"/>
    <x v="128"/>
    <x v="86"/>
    <x v="159"/>
    <x v="59"/>
    <x v="140"/>
    <x v="1"/>
  </r>
  <r>
    <x v="0"/>
    <x v="9"/>
    <x v="9"/>
    <x v="9"/>
    <x v="9"/>
    <x v="9"/>
    <x v="19"/>
    <x v="68"/>
    <x v="128"/>
    <x v="64"/>
    <x v="160"/>
    <x v="108"/>
    <x v="141"/>
    <x v="1"/>
  </r>
  <r>
    <x v="0"/>
    <x v="10"/>
    <x v="10"/>
    <x v="0"/>
    <x v="0"/>
    <x v="0"/>
    <x v="0"/>
    <x v="125"/>
    <x v="129"/>
    <x v="99"/>
    <x v="161"/>
    <x v="109"/>
    <x v="142"/>
    <x v="1"/>
  </r>
  <r>
    <x v="0"/>
    <x v="10"/>
    <x v="10"/>
    <x v="1"/>
    <x v="1"/>
    <x v="1"/>
    <x v="1"/>
    <x v="126"/>
    <x v="130"/>
    <x v="43"/>
    <x v="162"/>
    <x v="72"/>
    <x v="57"/>
    <x v="1"/>
  </r>
  <r>
    <x v="0"/>
    <x v="10"/>
    <x v="10"/>
    <x v="5"/>
    <x v="5"/>
    <x v="5"/>
    <x v="2"/>
    <x v="116"/>
    <x v="131"/>
    <x v="112"/>
    <x v="163"/>
    <x v="56"/>
    <x v="143"/>
    <x v="1"/>
  </r>
  <r>
    <x v="0"/>
    <x v="10"/>
    <x v="10"/>
    <x v="40"/>
    <x v="40"/>
    <x v="40"/>
    <x v="3"/>
    <x v="101"/>
    <x v="59"/>
    <x v="64"/>
    <x v="164"/>
    <x v="110"/>
    <x v="42"/>
    <x v="1"/>
  </r>
  <r>
    <x v="0"/>
    <x v="10"/>
    <x v="10"/>
    <x v="3"/>
    <x v="3"/>
    <x v="3"/>
    <x v="4"/>
    <x v="118"/>
    <x v="114"/>
    <x v="106"/>
    <x v="165"/>
    <x v="46"/>
    <x v="98"/>
    <x v="1"/>
  </r>
  <r>
    <x v="0"/>
    <x v="10"/>
    <x v="10"/>
    <x v="2"/>
    <x v="2"/>
    <x v="2"/>
    <x v="5"/>
    <x v="49"/>
    <x v="105"/>
    <x v="69"/>
    <x v="166"/>
    <x v="46"/>
    <x v="98"/>
    <x v="1"/>
  </r>
  <r>
    <x v="0"/>
    <x v="10"/>
    <x v="10"/>
    <x v="7"/>
    <x v="7"/>
    <x v="7"/>
    <x v="6"/>
    <x v="66"/>
    <x v="132"/>
    <x v="110"/>
    <x v="70"/>
    <x v="63"/>
    <x v="26"/>
    <x v="1"/>
  </r>
  <r>
    <x v="0"/>
    <x v="10"/>
    <x v="10"/>
    <x v="50"/>
    <x v="50"/>
    <x v="50"/>
    <x v="7"/>
    <x v="106"/>
    <x v="133"/>
    <x v="75"/>
    <x v="167"/>
    <x v="107"/>
    <x v="144"/>
    <x v="1"/>
  </r>
  <r>
    <x v="0"/>
    <x v="10"/>
    <x v="10"/>
    <x v="6"/>
    <x v="6"/>
    <x v="6"/>
    <x v="7"/>
    <x v="106"/>
    <x v="133"/>
    <x v="48"/>
    <x v="168"/>
    <x v="63"/>
    <x v="26"/>
    <x v="1"/>
  </r>
  <r>
    <x v="0"/>
    <x v="10"/>
    <x v="10"/>
    <x v="41"/>
    <x v="41"/>
    <x v="41"/>
    <x v="9"/>
    <x v="57"/>
    <x v="134"/>
    <x v="113"/>
    <x v="169"/>
    <x v="67"/>
    <x v="145"/>
    <x v="1"/>
  </r>
  <r>
    <x v="0"/>
    <x v="10"/>
    <x v="10"/>
    <x v="39"/>
    <x v="39"/>
    <x v="39"/>
    <x v="10"/>
    <x v="58"/>
    <x v="135"/>
    <x v="67"/>
    <x v="35"/>
    <x v="59"/>
    <x v="146"/>
    <x v="1"/>
  </r>
  <r>
    <x v="0"/>
    <x v="10"/>
    <x v="10"/>
    <x v="15"/>
    <x v="15"/>
    <x v="15"/>
    <x v="11"/>
    <x v="70"/>
    <x v="136"/>
    <x v="53"/>
    <x v="170"/>
    <x v="71"/>
    <x v="105"/>
    <x v="1"/>
  </r>
  <r>
    <x v="0"/>
    <x v="10"/>
    <x v="10"/>
    <x v="8"/>
    <x v="8"/>
    <x v="8"/>
    <x v="11"/>
    <x v="70"/>
    <x v="136"/>
    <x v="114"/>
    <x v="171"/>
    <x v="63"/>
    <x v="26"/>
    <x v="1"/>
  </r>
  <r>
    <x v="0"/>
    <x v="10"/>
    <x v="10"/>
    <x v="24"/>
    <x v="24"/>
    <x v="24"/>
    <x v="13"/>
    <x v="71"/>
    <x v="137"/>
    <x v="82"/>
    <x v="12"/>
    <x v="71"/>
    <x v="105"/>
    <x v="1"/>
  </r>
  <r>
    <x v="0"/>
    <x v="10"/>
    <x v="10"/>
    <x v="38"/>
    <x v="38"/>
    <x v="38"/>
    <x v="14"/>
    <x v="103"/>
    <x v="138"/>
    <x v="59"/>
    <x v="13"/>
    <x v="55"/>
    <x v="147"/>
    <x v="1"/>
  </r>
  <r>
    <x v="0"/>
    <x v="10"/>
    <x v="10"/>
    <x v="51"/>
    <x v="51"/>
    <x v="51"/>
    <x v="14"/>
    <x v="103"/>
    <x v="138"/>
    <x v="71"/>
    <x v="172"/>
    <x v="97"/>
    <x v="148"/>
    <x v="1"/>
  </r>
  <r>
    <x v="0"/>
    <x v="10"/>
    <x v="10"/>
    <x v="45"/>
    <x v="45"/>
    <x v="45"/>
    <x v="14"/>
    <x v="103"/>
    <x v="138"/>
    <x v="96"/>
    <x v="173"/>
    <x v="72"/>
    <x v="57"/>
    <x v="1"/>
  </r>
  <r>
    <x v="0"/>
    <x v="10"/>
    <x v="10"/>
    <x v="52"/>
    <x v="52"/>
    <x v="52"/>
    <x v="17"/>
    <x v="107"/>
    <x v="15"/>
    <x v="74"/>
    <x v="174"/>
    <x v="59"/>
    <x v="146"/>
    <x v="1"/>
  </r>
  <r>
    <x v="0"/>
    <x v="10"/>
    <x v="10"/>
    <x v="14"/>
    <x v="14"/>
    <x v="14"/>
    <x v="17"/>
    <x v="107"/>
    <x v="15"/>
    <x v="54"/>
    <x v="54"/>
    <x v="72"/>
    <x v="57"/>
    <x v="1"/>
  </r>
  <r>
    <x v="0"/>
    <x v="10"/>
    <x v="10"/>
    <x v="13"/>
    <x v="13"/>
    <x v="13"/>
    <x v="17"/>
    <x v="107"/>
    <x v="15"/>
    <x v="59"/>
    <x v="13"/>
    <x v="97"/>
    <x v="148"/>
    <x v="1"/>
  </r>
  <r>
    <x v="0"/>
    <x v="11"/>
    <x v="11"/>
    <x v="0"/>
    <x v="0"/>
    <x v="0"/>
    <x v="0"/>
    <x v="127"/>
    <x v="139"/>
    <x v="115"/>
    <x v="175"/>
    <x v="111"/>
    <x v="149"/>
    <x v="1"/>
  </r>
  <r>
    <x v="0"/>
    <x v="11"/>
    <x v="11"/>
    <x v="1"/>
    <x v="1"/>
    <x v="1"/>
    <x v="1"/>
    <x v="128"/>
    <x v="140"/>
    <x v="116"/>
    <x v="176"/>
    <x v="69"/>
    <x v="150"/>
    <x v="1"/>
  </r>
  <r>
    <x v="0"/>
    <x v="11"/>
    <x v="11"/>
    <x v="2"/>
    <x v="2"/>
    <x v="2"/>
    <x v="2"/>
    <x v="129"/>
    <x v="141"/>
    <x v="117"/>
    <x v="177"/>
    <x v="64"/>
    <x v="34"/>
    <x v="1"/>
  </r>
  <r>
    <x v="0"/>
    <x v="11"/>
    <x v="11"/>
    <x v="3"/>
    <x v="3"/>
    <x v="3"/>
    <x v="3"/>
    <x v="130"/>
    <x v="101"/>
    <x v="33"/>
    <x v="80"/>
    <x v="74"/>
    <x v="109"/>
    <x v="1"/>
  </r>
  <r>
    <x v="0"/>
    <x v="11"/>
    <x v="11"/>
    <x v="5"/>
    <x v="5"/>
    <x v="5"/>
    <x v="4"/>
    <x v="131"/>
    <x v="142"/>
    <x v="118"/>
    <x v="178"/>
    <x v="46"/>
    <x v="77"/>
    <x v="1"/>
  </r>
  <r>
    <x v="0"/>
    <x v="11"/>
    <x v="11"/>
    <x v="7"/>
    <x v="7"/>
    <x v="7"/>
    <x v="5"/>
    <x v="121"/>
    <x v="143"/>
    <x v="41"/>
    <x v="23"/>
    <x v="66"/>
    <x v="151"/>
    <x v="1"/>
  </r>
  <r>
    <x v="0"/>
    <x v="11"/>
    <x v="11"/>
    <x v="12"/>
    <x v="12"/>
    <x v="12"/>
    <x v="6"/>
    <x v="126"/>
    <x v="144"/>
    <x v="68"/>
    <x v="127"/>
    <x v="112"/>
    <x v="152"/>
    <x v="6"/>
  </r>
  <r>
    <x v="0"/>
    <x v="11"/>
    <x v="11"/>
    <x v="10"/>
    <x v="10"/>
    <x v="10"/>
    <x v="7"/>
    <x v="62"/>
    <x v="145"/>
    <x v="47"/>
    <x v="179"/>
    <x v="52"/>
    <x v="112"/>
    <x v="1"/>
  </r>
  <r>
    <x v="0"/>
    <x v="11"/>
    <x v="11"/>
    <x v="9"/>
    <x v="9"/>
    <x v="9"/>
    <x v="8"/>
    <x v="101"/>
    <x v="119"/>
    <x v="119"/>
    <x v="180"/>
    <x v="69"/>
    <x v="150"/>
    <x v="1"/>
  </r>
  <r>
    <x v="0"/>
    <x v="11"/>
    <x v="11"/>
    <x v="6"/>
    <x v="6"/>
    <x v="6"/>
    <x v="9"/>
    <x v="102"/>
    <x v="78"/>
    <x v="47"/>
    <x v="179"/>
    <x v="72"/>
    <x v="153"/>
    <x v="1"/>
  </r>
  <r>
    <x v="0"/>
    <x v="11"/>
    <x v="11"/>
    <x v="15"/>
    <x v="15"/>
    <x v="15"/>
    <x v="10"/>
    <x v="132"/>
    <x v="146"/>
    <x v="55"/>
    <x v="181"/>
    <x v="62"/>
    <x v="154"/>
    <x v="1"/>
  </r>
  <r>
    <x v="0"/>
    <x v="11"/>
    <x v="11"/>
    <x v="13"/>
    <x v="13"/>
    <x v="13"/>
    <x v="11"/>
    <x v="48"/>
    <x v="147"/>
    <x v="60"/>
    <x v="140"/>
    <x v="101"/>
    <x v="155"/>
    <x v="1"/>
  </r>
  <r>
    <x v="0"/>
    <x v="11"/>
    <x v="11"/>
    <x v="16"/>
    <x v="16"/>
    <x v="16"/>
    <x v="12"/>
    <x v="123"/>
    <x v="134"/>
    <x v="59"/>
    <x v="76"/>
    <x v="113"/>
    <x v="156"/>
    <x v="1"/>
  </r>
  <r>
    <x v="0"/>
    <x v="11"/>
    <x v="11"/>
    <x v="8"/>
    <x v="8"/>
    <x v="8"/>
    <x v="12"/>
    <x v="123"/>
    <x v="134"/>
    <x v="92"/>
    <x v="182"/>
    <x v="54"/>
    <x v="157"/>
    <x v="1"/>
  </r>
  <r>
    <x v="0"/>
    <x v="11"/>
    <x v="11"/>
    <x v="14"/>
    <x v="14"/>
    <x v="14"/>
    <x v="14"/>
    <x v="133"/>
    <x v="50"/>
    <x v="58"/>
    <x v="183"/>
    <x v="108"/>
    <x v="158"/>
    <x v="1"/>
  </r>
  <r>
    <x v="0"/>
    <x v="11"/>
    <x v="11"/>
    <x v="11"/>
    <x v="11"/>
    <x v="11"/>
    <x v="15"/>
    <x v="134"/>
    <x v="51"/>
    <x v="120"/>
    <x v="184"/>
    <x v="56"/>
    <x v="17"/>
    <x v="1"/>
  </r>
  <r>
    <x v="0"/>
    <x v="11"/>
    <x v="11"/>
    <x v="24"/>
    <x v="24"/>
    <x v="24"/>
    <x v="16"/>
    <x v="69"/>
    <x v="137"/>
    <x v="75"/>
    <x v="185"/>
    <x v="106"/>
    <x v="159"/>
    <x v="1"/>
  </r>
  <r>
    <x v="0"/>
    <x v="11"/>
    <x v="11"/>
    <x v="29"/>
    <x v="29"/>
    <x v="29"/>
    <x v="17"/>
    <x v="51"/>
    <x v="148"/>
    <x v="99"/>
    <x v="46"/>
    <x v="66"/>
    <x v="151"/>
    <x v="1"/>
  </r>
  <r>
    <x v="0"/>
    <x v="11"/>
    <x v="11"/>
    <x v="4"/>
    <x v="4"/>
    <x v="4"/>
    <x v="18"/>
    <x v="52"/>
    <x v="109"/>
    <x v="74"/>
    <x v="84"/>
    <x v="107"/>
    <x v="160"/>
    <x v="1"/>
  </r>
  <r>
    <x v="0"/>
    <x v="11"/>
    <x v="11"/>
    <x v="44"/>
    <x v="44"/>
    <x v="44"/>
    <x v="19"/>
    <x v="55"/>
    <x v="149"/>
    <x v="81"/>
    <x v="18"/>
    <x v="52"/>
    <x v="112"/>
    <x v="1"/>
  </r>
  <r>
    <x v="0"/>
    <x v="12"/>
    <x v="12"/>
    <x v="0"/>
    <x v="0"/>
    <x v="0"/>
    <x v="0"/>
    <x v="135"/>
    <x v="150"/>
    <x v="119"/>
    <x v="47"/>
    <x v="114"/>
    <x v="161"/>
    <x v="1"/>
  </r>
  <r>
    <x v="0"/>
    <x v="12"/>
    <x v="12"/>
    <x v="22"/>
    <x v="22"/>
    <x v="22"/>
    <x v="1"/>
    <x v="44"/>
    <x v="151"/>
    <x v="96"/>
    <x v="186"/>
    <x v="115"/>
    <x v="81"/>
    <x v="1"/>
  </r>
  <r>
    <x v="0"/>
    <x v="12"/>
    <x v="12"/>
    <x v="3"/>
    <x v="3"/>
    <x v="3"/>
    <x v="2"/>
    <x v="95"/>
    <x v="21"/>
    <x v="85"/>
    <x v="187"/>
    <x v="44"/>
    <x v="41"/>
    <x v="1"/>
  </r>
  <r>
    <x v="0"/>
    <x v="12"/>
    <x v="12"/>
    <x v="6"/>
    <x v="6"/>
    <x v="6"/>
    <x v="3"/>
    <x v="96"/>
    <x v="152"/>
    <x v="121"/>
    <x v="188"/>
    <x v="43"/>
    <x v="162"/>
    <x v="1"/>
  </r>
  <r>
    <x v="0"/>
    <x v="12"/>
    <x v="12"/>
    <x v="5"/>
    <x v="5"/>
    <x v="5"/>
    <x v="4"/>
    <x v="122"/>
    <x v="96"/>
    <x v="105"/>
    <x v="59"/>
    <x v="56"/>
    <x v="51"/>
    <x v="1"/>
  </r>
  <r>
    <x v="0"/>
    <x v="12"/>
    <x v="12"/>
    <x v="18"/>
    <x v="18"/>
    <x v="18"/>
    <x v="5"/>
    <x v="136"/>
    <x v="153"/>
    <x v="45"/>
    <x v="189"/>
    <x v="67"/>
    <x v="153"/>
    <x v="1"/>
  </r>
  <r>
    <x v="0"/>
    <x v="12"/>
    <x v="12"/>
    <x v="1"/>
    <x v="1"/>
    <x v="1"/>
    <x v="5"/>
    <x v="136"/>
    <x v="153"/>
    <x v="98"/>
    <x v="190"/>
    <x v="64"/>
    <x v="70"/>
    <x v="1"/>
  </r>
  <r>
    <x v="0"/>
    <x v="12"/>
    <x v="12"/>
    <x v="2"/>
    <x v="2"/>
    <x v="2"/>
    <x v="7"/>
    <x v="137"/>
    <x v="154"/>
    <x v="112"/>
    <x v="191"/>
    <x v="54"/>
    <x v="163"/>
    <x v="1"/>
  </r>
  <r>
    <x v="0"/>
    <x v="12"/>
    <x v="12"/>
    <x v="8"/>
    <x v="8"/>
    <x v="8"/>
    <x v="8"/>
    <x v="138"/>
    <x v="116"/>
    <x v="119"/>
    <x v="47"/>
    <x v="108"/>
    <x v="95"/>
    <x v="1"/>
  </r>
  <r>
    <x v="0"/>
    <x v="12"/>
    <x v="12"/>
    <x v="14"/>
    <x v="14"/>
    <x v="14"/>
    <x v="9"/>
    <x v="117"/>
    <x v="62"/>
    <x v="119"/>
    <x v="47"/>
    <x v="74"/>
    <x v="164"/>
    <x v="1"/>
  </r>
  <r>
    <x v="0"/>
    <x v="12"/>
    <x v="12"/>
    <x v="7"/>
    <x v="7"/>
    <x v="7"/>
    <x v="10"/>
    <x v="65"/>
    <x v="155"/>
    <x v="122"/>
    <x v="192"/>
    <x v="56"/>
    <x v="51"/>
    <x v="1"/>
  </r>
  <r>
    <x v="0"/>
    <x v="12"/>
    <x v="12"/>
    <x v="4"/>
    <x v="4"/>
    <x v="4"/>
    <x v="11"/>
    <x v="119"/>
    <x v="156"/>
    <x v="55"/>
    <x v="114"/>
    <x v="92"/>
    <x v="101"/>
    <x v="1"/>
  </r>
  <r>
    <x v="0"/>
    <x v="12"/>
    <x v="12"/>
    <x v="19"/>
    <x v="19"/>
    <x v="19"/>
    <x v="12"/>
    <x v="133"/>
    <x v="91"/>
    <x v="86"/>
    <x v="193"/>
    <x v="65"/>
    <x v="165"/>
    <x v="1"/>
  </r>
  <r>
    <x v="0"/>
    <x v="12"/>
    <x v="12"/>
    <x v="10"/>
    <x v="10"/>
    <x v="10"/>
    <x v="13"/>
    <x v="52"/>
    <x v="33"/>
    <x v="102"/>
    <x v="194"/>
    <x v="69"/>
    <x v="14"/>
    <x v="1"/>
  </r>
  <r>
    <x v="0"/>
    <x v="12"/>
    <x v="12"/>
    <x v="12"/>
    <x v="12"/>
    <x v="12"/>
    <x v="14"/>
    <x v="55"/>
    <x v="35"/>
    <x v="75"/>
    <x v="37"/>
    <x v="105"/>
    <x v="166"/>
    <x v="1"/>
  </r>
  <r>
    <x v="0"/>
    <x v="12"/>
    <x v="12"/>
    <x v="27"/>
    <x v="27"/>
    <x v="27"/>
    <x v="15"/>
    <x v="56"/>
    <x v="109"/>
    <x v="74"/>
    <x v="15"/>
    <x v="68"/>
    <x v="167"/>
    <x v="1"/>
  </r>
  <r>
    <x v="0"/>
    <x v="12"/>
    <x v="12"/>
    <x v="53"/>
    <x v="53"/>
    <x v="53"/>
    <x v="16"/>
    <x v="67"/>
    <x v="157"/>
    <x v="51"/>
    <x v="195"/>
    <x v="41"/>
    <x v="168"/>
    <x v="1"/>
  </r>
  <r>
    <x v="0"/>
    <x v="12"/>
    <x v="12"/>
    <x v="13"/>
    <x v="13"/>
    <x v="13"/>
    <x v="17"/>
    <x v="58"/>
    <x v="18"/>
    <x v="74"/>
    <x v="15"/>
    <x v="42"/>
    <x v="148"/>
    <x v="1"/>
  </r>
  <r>
    <x v="0"/>
    <x v="12"/>
    <x v="12"/>
    <x v="23"/>
    <x v="23"/>
    <x v="23"/>
    <x v="18"/>
    <x v="70"/>
    <x v="158"/>
    <x v="74"/>
    <x v="15"/>
    <x v="55"/>
    <x v="169"/>
    <x v="1"/>
  </r>
  <r>
    <x v="0"/>
    <x v="12"/>
    <x v="12"/>
    <x v="54"/>
    <x v="54"/>
    <x v="54"/>
    <x v="19"/>
    <x v="68"/>
    <x v="159"/>
    <x v="107"/>
    <x v="196"/>
    <x v="43"/>
    <x v="162"/>
    <x v="1"/>
  </r>
  <r>
    <x v="0"/>
    <x v="13"/>
    <x v="13"/>
    <x v="0"/>
    <x v="0"/>
    <x v="0"/>
    <x v="0"/>
    <x v="139"/>
    <x v="160"/>
    <x v="63"/>
    <x v="197"/>
    <x v="40"/>
    <x v="170"/>
    <x v="1"/>
  </r>
  <r>
    <x v="0"/>
    <x v="13"/>
    <x v="13"/>
    <x v="5"/>
    <x v="5"/>
    <x v="5"/>
    <x v="1"/>
    <x v="86"/>
    <x v="161"/>
    <x v="123"/>
    <x v="198"/>
    <x v="69"/>
    <x v="171"/>
    <x v="1"/>
  </r>
  <r>
    <x v="0"/>
    <x v="13"/>
    <x v="13"/>
    <x v="10"/>
    <x v="10"/>
    <x v="10"/>
    <x v="2"/>
    <x v="140"/>
    <x v="162"/>
    <x v="89"/>
    <x v="199"/>
    <x v="91"/>
    <x v="172"/>
    <x v="1"/>
  </r>
  <r>
    <x v="0"/>
    <x v="13"/>
    <x v="13"/>
    <x v="1"/>
    <x v="1"/>
    <x v="1"/>
    <x v="3"/>
    <x v="141"/>
    <x v="143"/>
    <x v="88"/>
    <x v="200"/>
    <x v="76"/>
    <x v="173"/>
    <x v="1"/>
  </r>
  <r>
    <x v="0"/>
    <x v="13"/>
    <x v="13"/>
    <x v="2"/>
    <x v="2"/>
    <x v="2"/>
    <x v="3"/>
    <x v="141"/>
    <x v="143"/>
    <x v="124"/>
    <x v="201"/>
    <x v="54"/>
    <x v="150"/>
    <x v="1"/>
  </r>
  <r>
    <x v="0"/>
    <x v="13"/>
    <x v="13"/>
    <x v="14"/>
    <x v="14"/>
    <x v="14"/>
    <x v="5"/>
    <x v="41"/>
    <x v="163"/>
    <x v="125"/>
    <x v="180"/>
    <x v="75"/>
    <x v="66"/>
    <x v="1"/>
  </r>
  <r>
    <x v="0"/>
    <x v="13"/>
    <x v="13"/>
    <x v="6"/>
    <x v="6"/>
    <x v="6"/>
    <x v="6"/>
    <x v="142"/>
    <x v="164"/>
    <x v="126"/>
    <x v="47"/>
    <x v="54"/>
    <x v="150"/>
    <x v="1"/>
  </r>
  <r>
    <x v="0"/>
    <x v="13"/>
    <x v="13"/>
    <x v="8"/>
    <x v="8"/>
    <x v="8"/>
    <x v="7"/>
    <x v="93"/>
    <x v="107"/>
    <x v="85"/>
    <x v="171"/>
    <x v="69"/>
    <x v="171"/>
    <x v="1"/>
  </r>
  <r>
    <x v="0"/>
    <x v="13"/>
    <x v="13"/>
    <x v="7"/>
    <x v="7"/>
    <x v="7"/>
    <x v="8"/>
    <x v="44"/>
    <x v="165"/>
    <x v="127"/>
    <x v="169"/>
    <x v="66"/>
    <x v="151"/>
    <x v="1"/>
  </r>
  <r>
    <x v="0"/>
    <x v="13"/>
    <x v="13"/>
    <x v="3"/>
    <x v="3"/>
    <x v="3"/>
    <x v="9"/>
    <x v="143"/>
    <x v="78"/>
    <x v="105"/>
    <x v="56"/>
    <x v="67"/>
    <x v="24"/>
    <x v="1"/>
  </r>
  <r>
    <x v="0"/>
    <x v="13"/>
    <x v="13"/>
    <x v="22"/>
    <x v="22"/>
    <x v="22"/>
    <x v="10"/>
    <x v="105"/>
    <x v="166"/>
    <x v="128"/>
    <x v="139"/>
    <x v="113"/>
    <x v="174"/>
    <x v="1"/>
  </r>
  <r>
    <x v="0"/>
    <x v="13"/>
    <x v="13"/>
    <x v="55"/>
    <x v="55"/>
    <x v="55"/>
    <x v="11"/>
    <x v="96"/>
    <x v="155"/>
    <x v="119"/>
    <x v="88"/>
    <x v="71"/>
    <x v="175"/>
    <x v="1"/>
  </r>
  <r>
    <x v="0"/>
    <x v="13"/>
    <x v="13"/>
    <x v="52"/>
    <x v="52"/>
    <x v="52"/>
    <x v="12"/>
    <x v="114"/>
    <x v="30"/>
    <x v="113"/>
    <x v="202"/>
    <x v="77"/>
    <x v="176"/>
    <x v="1"/>
  </r>
  <r>
    <x v="0"/>
    <x v="13"/>
    <x v="13"/>
    <x v="56"/>
    <x v="56"/>
    <x v="56"/>
    <x v="13"/>
    <x v="116"/>
    <x v="51"/>
    <x v="87"/>
    <x v="36"/>
    <x v="61"/>
    <x v="177"/>
    <x v="1"/>
  </r>
  <r>
    <x v="0"/>
    <x v="13"/>
    <x v="13"/>
    <x v="29"/>
    <x v="29"/>
    <x v="29"/>
    <x v="14"/>
    <x v="46"/>
    <x v="66"/>
    <x v="66"/>
    <x v="34"/>
    <x v="44"/>
    <x v="178"/>
    <x v="1"/>
  </r>
  <r>
    <x v="0"/>
    <x v="13"/>
    <x v="13"/>
    <x v="13"/>
    <x v="13"/>
    <x v="13"/>
    <x v="15"/>
    <x v="117"/>
    <x v="138"/>
    <x v="46"/>
    <x v="203"/>
    <x v="113"/>
    <x v="174"/>
    <x v="1"/>
  </r>
  <r>
    <x v="0"/>
    <x v="13"/>
    <x v="13"/>
    <x v="19"/>
    <x v="19"/>
    <x v="19"/>
    <x v="16"/>
    <x v="102"/>
    <x v="109"/>
    <x v="64"/>
    <x v="53"/>
    <x v="106"/>
    <x v="113"/>
    <x v="1"/>
  </r>
  <r>
    <x v="0"/>
    <x v="13"/>
    <x v="13"/>
    <x v="23"/>
    <x v="23"/>
    <x v="23"/>
    <x v="16"/>
    <x v="102"/>
    <x v="109"/>
    <x v="101"/>
    <x v="204"/>
    <x v="55"/>
    <x v="168"/>
    <x v="1"/>
  </r>
  <r>
    <x v="0"/>
    <x v="13"/>
    <x v="13"/>
    <x v="15"/>
    <x v="15"/>
    <x v="15"/>
    <x v="18"/>
    <x v="47"/>
    <x v="16"/>
    <x v="51"/>
    <x v="205"/>
    <x v="106"/>
    <x v="113"/>
    <x v="1"/>
  </r>
  <r>
    <x v="0"/>
    <x v="13"/>
    <x v="13"/>
    <x v="57"/>
    <x v="57"/>
    <x v="57"/>
    <x v="19"/>
    <x v="132"/>
    <x v="149"/>
    <x v="111"/>
    <x v="158"/>
    <x v="62"/>
    <x v="179"/>
    <x v="10"/>
  </r>
  <r>
    <x v="0"/>
    <x v="14"/>
    <x v="14"/>
    <x v="0"/>
    <x v="0"/>
    <x v="0"/>
    <x v="0"/>
    <x v="144"/>
    <x v="167"/>
    <x v="40"/>
    <x v="206"/>
    <x v="116"/>
    <x v="180"/>
    <x v="1"/>
  </r>
  <r>
    <x v="0"/>
    <x v="14"/>
    <x v="14"/>
    <x v="1"/>
    <x v="1"/>
    <x v="1"/>
    <x v="1"/>
    <x v="113"/>
    <x v="82"/>
    <x v="129"/>
    <x v="207"/>
    <x v="74"/>
    <x v="8"/>
    <x v="1"/>
  </r>
  <r>
    <x v="0"/>
    <x v="14"/>
    <x v="14"/>
    <x v="2"/>
    <x v="2"/>
    <x v="2"/>
    <x v="2"/>
    <x v="136"/>
    <x v="168"/>
    <x v="45"/>
    <x v="208"/>
    <x v="67"/>
    <x v="23"/>
    <x v="1"/>
  </r>
  <r>
    <x v="0"/>
    <x v="14"/>
    <x v="14"/>
    <x v="5"/>
    <x v="5"/>
    <x v="5"/>
    <x v="3"/>
    <x v="114"/>
    <x v="84"/>
    <x v="108"/>
    <x v="23"/>
    <x v="44"/>
    <x v="88"/>
    <x v="1"/>
  </r>
  <r>
    <x v="0"/>
    <x v="14"/>
    <x v="14"/>
    <x v="3"/>
    <x v="3"/>
    <x v="3"/>
    <x v="4"/>
    <x v="116"/>
    <x v="169"/>
    <x v="112"/>
    <x v="209"/>
    <x v="56"/>
    <x v="181"/>
    <x v="1"/>
  </r>
  <r>
    <x v="0"/>
    <x v="14"/>
    <x v="14"/>
    <x v="8"/>
    <x v="8"/>
    <x v="8"/>
    <x v="5"/>
    <x v="102"/>
    <x v="170"/>
    <x v="95"/>
    <x v="210"/>
    <x v="69"/>
    <x v="182"/>
    <x v="1"/>
  </r>
  <r>
    <x v="0"/>
    <x v="14"/>
    <x v="14"/>
    <x v="14"/>
    <x v="14"/>
    <x v="14"/>
    <x v="6"/>
    <x v="47"/>
    <x v="58"/>
    <x v="120"/>
    <x v="211"/>
    <x v="108"/>
    <x v="138"/>
    <x v="1"/>
  </r>
  <r>
    <x v="0"/>
    <x v="14"/>
    <x v="14"/>
    <x v="7"/>
    <x v="7"/>
    <x v="7"/>
    <x v="7"/>
    <x v="145"/>
    <x v="171"/>
    <x v="61"/>
    <x v="212"/>
    <x v="56"/>
    <x v="181"/>
    <x v="1"/>
  </r>
  <r>
    <x v="0"/>
    <x v="14"/>
    <x v="14"/>
    <x v="6"/>
    <x v="6"/>
    <x v="6"/>
    <x v="8"/>
    <x v="65"/>
    <x v="154"/>
    <x v="95"/>
    <x v="210"/>
    <x v="44"/>
    <x v="88"/>
    <x v="1"/>
  </r>
  <r>
    <x v="0"/>
    <x v="14"/>
    <x v="14"/>
    <x v="10"/>
    <x v="10"/>
    <x v="10"/>
    <x v="9"/>
    <x v="133"/>
    <x v="164"/>
    <x v="92"/>
    <x v="213"/>
    <x v="72"/>
    <x v="141"/>
    <x v="1"/>
  </r>
  <r>
    <x v="0"/>
    <x v="14"/>
    <x v="14"/>
    <x v="18"/>
    <x v="18"/>
    <x v="18"/>
    <x v="10"/>
    <x v="56"/>
    <x v="89"/>
    <x v="73"/>
    <x v="214"/>
    <x v="43"/>
    <x v="68"/>
    <x v="1"/>
  </r>
  <r>
    <x v="0"/>
    <x v="14"/>
    <x v="14"/>
    <x v="24"/>
    <x v="24"/>
    <x v="24"/>
    <x v="11"/>
    <x v="70"/>
    <x v="91"/>
    <x v="74"/>
    <x v="215"/>
    <x v="55"/>
    <x v="124"/>
    <x v="1"/>
  </r>
  <r>
    <x v="0"/>
    <x v="14"/>
    <x v="14"/>
    <x v="13"/>
    <x v="13"/>
    <x v="13"/>
    <x v="12"/>
    <x v="103"/>
    <x v="136"/>
    <x v="71"/>
    <x v="205"/>
    <x v="97"/>
    <x v="183"/>
    <x v="1"/>
  </r>
  <r>
    <x v="0"/>
    <x v="14"/>
    <x v="14"/>
    <x v="29"/>
    <x v="29"/>
    <x v="29"/>
    <x v="12"/>
    <x v="103"/>
    <x v="136"/>
    <x v="114"/>
    <x v="216"/>
    <x v="66"/>
    <x v="17"/>
    <x v="1"/>
  </r>
  <r>
    <x v="0"/>
    <x v="14"/>
    <x v="14"/>
    <x v="9"/>
    <x v="9"/>
    <x v="9"/>
    <x v="12"/>
    <x v="103"/>
    <x v="136"/>
    <x v="56"/>
    <x v="217"/>
    <x v="44"/>
    <x v="88"/>
    <x v="1"/>
  </r>
  <r>
    <x v="0"/>
    <x v="14"/>
    <x v="14"/>
    <x v="4"/>
    <x v="4"/>
    <x v="4"/>
    <x v="15"/>
    <x v="104"/>
    <x v="34"/>
    <x v="55"/>
    <x v="69"/>
    <x v="59"/>
    <x v="184"/>
    <x v="1"/>
  </r>
  <r>
    <x v="0"/>
    <x v="14"/>
    <x v="14"/>
    <x v="58"/>
    <x v="58"/>
    <x v="58"/>
    <x v="15"/>
    <x v="104"/>
    <x v="34"/>
    <x v="104"/>
    <x v="218"/>
    <x v="73"/>
    <x v="72"/>
    <x v="1"/>
  </r>
  <r>
    <x v="0"/>
    <x v="14"/>
    <x v="14"/>
    <x v="23"/>
    <x v="23"/>
    <x v="23"/>
    <x v="17"/>
    <x v="72"/>
    <x v="36"/>
    <x v="46"/>
    <x v="219"/>
    <x v="48"/>
    <x v="91"/>
    <x v="1"/>
  </r>
  <r>
    <x v="0"/>
    <x v="14"/>
    <x v="14"/>
    <x v="15"/>
    <x v="15"/>
    <x v="15"/>
    <x v="18"/>
    <x v="73"/>
    <x v="37"/>
    <x v="82"/>
    <x v="220"/>
    <x v="55"/>
    <x v="124"/>
    <x v="1"/>
  </r>
  <r>
    <x v="0"/>
    <x v="14"/>
    <x v="14"/>
    <x v="16"/>
    <x v="16"/>
    <x v="16"/>
    <x v="19"/>
    <x v="74"/>
    <x v="68"/>
    <x v="68"/>
    <x v="19"/>
    <x v="59"/>
    <x v="184"/>
    <x v="1"/>
  </r>
  <r>
    <x v="0"/>
    <x v="14"/>
    <x v="14"/>
    <x v="59"/>
    <x v="59"/>
    <x v="59"/>
    <x v="19"/>
    <x v="74"/>
    <x v="68"/>
    <x v="71"/>
    <x v="205"/>
    <x v="52"/>
    <x v="185"/>
    <x v="1"/>
  </r>
  <r>
    <x v="0"/>
    <x v="14"/>
    <x v="14"/>
    <x v="54"/>
    <x v="54"/>
    <x v="54"/>
    <x v="19"/>
    <x v="74"/>
    <x v="68"/>
    <x v="51"/>
    <x v="139"/>
    <x v="74"/>
    <x v="8"/>
    <x v="1"/>
  </r>
  <r>
    <x v="0"/>
    <x v="15"/>
    <x v="15"/>
    <x v="0"/>
    <x v="0"/>
    <x v="0"/>
    <x v="0"/>
    <x v="139"/>
    <x v="172"/>
    <x v="130"/>
    <x v="221"/>
    <x v="117"/>
    <x v="186"/>
    <x v="1"/>
  </r>
  <r>
    <x v="0"/>
    <x v="15"/>
    <x v="15"/>
    <x v="1"/>
    <x v="1"/>
    <x v="1"/>
    <x v="1"/>
    <x v="60"/>
    <x v="173"/>
    <x v="131"/>
    <x v="222"/>
    <x v="43"/>
    <x v="187"/>
    <x v="1"/>
  </r>
  <r>
    <x v="0"/>
    <x v="15"/>
    <x v="15"/>
    <x v="5"/>
    <x v="5"/>
    <x v="5"/>
    <x v="2"/>
    <x v="146"/>
    <x v="72"/>
    <x v="62"/>
    <x v="177"/>
    <x v="44"/>
    <x v="61"/>
    <x v="1"/>
  </r>
  <r>
    <x v="0"/>
    <x v="15"/>
    <x v="15"/>
    <x v="2"/>
    <x v="2"/>
    <x v="2"/>
    <x v="3"/>
    <x v="147"/>
    <x v="125"/>
    <x v="40"/>
    <x v="223"/>
    <x v="54"/>
    <x v="56"/>
    <x v="1"/>
  </r>
  <r>
    <x v="0"/>
    <x v="15"/>
    <x v="15"/>
    <x v="7"/>
    <x v="7"/>
    <x v="7"/>
    <x v="4"/>
    <x v="93"/>
    <x v="151"/>
    <x v="127"/>
    <x v="224"/>
    <x v="72"/>
    <x v="188"/>
    <x v="1"/>
  </r>
  <r>
    <x v="0"/>
    <x v="15"/>
    <x v="15"/>
    <x v="22"/>
    <x v="22"/>
    <x v="22"/>
    <x v="5"/>
    <x v="148"/>
    <x v="174"/>
    <x v="114"/>
    <x v="225"/>
    <x v="118"/>
    <x v="189"/>
    <x v="1"/>
  </r>
  <r>
    <x v="0"/>
    <x v="15"/>
    <x v="15"/>
    <x v="3"/>
    <x v="3"/>
    <x v="3"/>
    <x v="5"/>
    <x v="148"/>
    <x v="174"/>
    <x v="132"/>
    <x v="2"/>
    <x v="63"/>
    <x v="60"/>
    <x v="1"/>
  </r>
  <r>
    <x v="0"/>
    <x v="15"/>
    <x v="15"/>
    <x v="10"/>
    <x v="10"/>
    <x v="10"/>
    <x v="7"/>
    <x v="44"/>
    <x v="171"/>
    <x v="112"/>
    <x v="226"/>
    <x v="50"/>
    <x v="190"/>
    <x v="1"/>
  </r>
  <r>
    <x v="0"/>
    <x v="15"/>
    <x v="15"/>
    <x v="6"/>
    <x v="6"/>
    <x v="6"/>
    <x v="8"/>
    <x v="63"/>
    <x v="145"/>
    <x v="133"/>
    <x v="227"/>
    <x v="69"/>
    <x v="157"/>
    <x v="1"/>
  </r>
  <r>
    <x v="0"/>
    <x v="15"/>
    <x v="15"/>
    <x v="8"/>
    <x v="8"/>
    <x v="8"/>
    <x v="9"/>
    <x v="64"/>
    <x v="7"/>
    <x v="47"/>
    <x v="228"/>
    <x v="69"/>
    <x v="157"/>
    <x v="1"/>
  </r>
  <r>
    <x v="0"/>
    <x v="15"/>
    <x v="15"/>
    <x v="4"/>
    <x v="4"/>
    <x v="4"/>
    <x v="10"/>
    <x v="49"/>
    <x v="10"/>
    <x v="46"/>
    <x v="229"/>
    <x v="51"/>
    <x v="165"/>
    <x v="1"/>
  </r>
  <r>
    <x v="0"/>
    <x v="15"/>
    <x v="15"/>
    <x v="9"/>
    <x v="9"/>
    <x v="9"/>
    <x v="11"/>
    <x v="124"/>
    <x v="64"/>
    <x v="110"/>
    <x v="230"/>
    <x v="61"/>
    <x v="191"/>
    <x v="6"/>
  </r>
  <r>
    <x v="0"/>
    <x v="15"/>
    <x v="15"/>
    <x v="23"/>
    <x v="23"/>
    <x v="23"/>
    <x v="12"/>
    <x v="134"/>
    <x v="99"/>
    <x v="73"/>
    <x v="231"/>
    <x v="50"/>
    <x v="190"/>
    <x v="1"/>
  </r>
  <r>
    <x v="0"/>
    <x v="15"/>
    <x v="15"/>
    <x v="12"/>
    <x v="12"/>
    <x v="12"/>
    <x v="13"/>
    <x v="69"/>
    <x v="33"/>
    <x v="59"/>
    <x v="232"/>
    <x v="77"/>
    <x v="47"/>
    <x v="1"/>
  </r>
  <r>
    <x v="0"/>
    <x v="15"/>
    <x v="15"/>
    <x v="15"/>
    <x v="15"/>
    <x v="15"/>
    <x v="14"/>
    <x v="66"/>
    <x v="66"/>
    <x v="71"/>
    <x v="126"/>
    <x v="65"/>
    <x v="80"/>
    <x v="1"/>
  </r>
  <r>
    <x v="0"/>
    <x v="15"/>
    <x v="15"/>
    <x v="14"/>
    <x v="14"/>
    <x v="14"/>
    <x v="15"/>
    <x v="106"/>
    <x v="128"/>
    <x v="113"/>
    <x v="233"/>
    <x v="72"/>
    <x v="188"/>
    <x v="1"/>
  </r>
  <r>
    <x v="0"/>
    <x v="15"/>
    <x v="15"/>
    <x v="59"/>
    <x v="59"/>
    <x v="59"/>
    <x v="16"/>
    <x v="57"/>
    <x v="175"/>
    <x v="71"/>
    <x v="126"/>
    <x v="68"/>
    <x v="93"/>
    <x v="1"/>
  </r>
  <r>
    <x v="0"/>
    <x v="15"/>
    <x v="15"/>
    <x v="13"/>
    <x v="13"/>
    <x v="13"/>
    <x v="16"/>
    <x v="57"/>
    <x v="175"/>
    <x v="82"/>
    <x v="99"/>
    <x v="119"/>
    <x v="192"/>
    <x v="1"/>
  </r>
  <r>
    <x v="0"/>
    <x v="15"/>
    <x v="15"/>
    <x v="24"/>
    <x v="24"/>
    <x v="24"/>
    <x v="18"/>
    <x v="67"/>
    <x v="176"/>
    <x v="68"/>
    <x v="170"/>
    <x v="71"/>
    <x v="16"/>
    <x v="1"/>
  </r>
  <r>
    <x v="0"/>
    <x v="15"/>
    <x v="15"/>
    <x v="54"/>
    <x v="54"/>
    <x v="54"/>
    <x v="18"/>
    <x v="67"/>
    <x v="176"/>
    <x v="80"/>
    <x v="234"/>
    <x v="74"/>
    <x v="193"/>
    <x v="1"/>
  </r>
  <r>
    <x v="0"/>
    <x v="15"/>
    <x v="15"/>
    <x v="60"/>
    <x v="60"/>
    <x v="60"/>
    <x v="18"/>
    <x v="67"/>
    <x v="176"/>
    <x v="58"/>
    <x v="235"/>
    <x v="66"/>
    <x v="64"/>
    <x v="1"/>
  </r>
  <r>
    <x v="0"/>
    <x v="15"/>
    <x v="15"/>
    <x v="44"/>
    <x v="44"/>
    <x v="44"/>
    <x v="18"/>
    <x v="67"/>
    <x v="176"/>
    <x v="107"/>
    <x v="236"/>
    <x v="52"/>
    <x v="194"/>
    <x v="1"/>
  </r>
  <r>
    <x v="0"/>
    <x v="16"/>
    <x v="16"/>
    <x v="0"/>
    <x v="0"/>
    <x v="0"/>
    <x v="0"/>
    <x v="149"/>
    <x v="177"/>
    <x v="134"/>
    <x v="237"/>
    <x v="120"/>
    <x v="195"/>
    <x v="1"/>
  </r>
  <r>
    <x v="0"/>
    <x v="16"/>
    <x v="16"/>
    <x v="1"/>
    <x v="1"/>
    <x v="1"/>
    <x v="1"/>
    <x v="150"/>
    <x v="178"/>
    <x v="135"/>
    <x v="238"/>
    <x v="43"/>
    <x v="187"/>
    <x v="1"/>
  </r>
  <r>
    <x v="0"/>
    <x v="16"/>
    <x v="16"/>
    <x v="2"/>
    <x v="2"/>
    <x v="2"/>
    <x v="2"/>
    <x v="151"/>
    <x v="179"/>
    <x v="88"/>
    <x v="239"/>
    <x v="64"/>
    <x v="130"/>
    <x v="1"/>
  </r>
  <r>
    <x v="0"/>
    <x v="16"/>
    <x v="16"/>
    <x v="5"/>
    <x v="5"/>
    <x v="5"/>
    <x v="3"/>
    <x v="152"/>
    <x v="95"/>
    <x v="125"/>
    <x v="240"/>
    <x v="67"/>
    <x v="196"/>
    <x v="1"/>
  </r>
  <r>
    <x v="0"/>
    <x v="16"/>
    <x v="16"/>
    <x v="3"/>
    <x v="3"/>
    <x v="3"/>
    <x v="4"/>
    <x v="95"/>
    <x v="180"/>
    <x v="42"/>
    <x v="224"/>
    <x v="61"/>
    <x v="57"/>
    <x v="1"/>
  </r>
  <r>
    <x v="0"/>
    <x v="16"/>
    <x v="16"/>
    <x v="9"/>
    <x v="9"/>
    <x v="9"/>
    <x v="5"/>
    <x v="97"/>
    <x v="153"/>
    <x v="61"/>
    <x v="211"/>
    <x v="97"/>
    <x v="146"/>
    <x v="1"/>
  </r>
  <r>
    <x v="0"/>
    <x v="16"/>
    <x v="16"/>
    <x v="8"/>
    <x v="8"/>
    <x v="8"/>
    <x v="6"/>
    <x v="136"/>
    <x v="73"/>
    <x v="69"/>
    <x v="241"/>
    <x v="49"/>
    <x v="197"/>
    <x v="1"/>
  </r>
  <r>
    <x v="0"/>
    <x v="16"/>
    <x v="16"/>
    <x v="10"/>
    <x v="10"/>
    <x v="10"/>
    <x v="7"/>
    <x v="137"/>
    <x v="181"/>
    <x v="99"/>
    <x v="242"/>
    <x v="53"/>
    <x v="111"/>
    <x v="1"/>
  </r>
  <r>
    <x v="0"/>
    <x v="16"/>
    <x v="16"/>
    <x v="13"/>
    <x v="13"/>
    <x v="13"/>
    <x v="8"/>
    <x v="126"/>
    <x v="182"/>
    <x v="67"/>
    <x v="243"/>
    <x v="121"/>
    <x v="198"/>
    <x v="1"/>
  </r>
  <r>
    <x v="0"/>
    <x v="16"/>
    <x v="16"/>
    <x v="6"/>
    <x v="6"/>
    <x v="6"/>
    <x v="8"/>
    <x v="126"/>
    <x v="182"/>
    <x v="133"/>
    <x v="244"/>
    <x v="108"/>
    <x v="199"/>
    <x v="1"/>
  </r>
  <r>
    <x v="0"/>
    <x v="16"/>
    <x v="16"/>
    <x v="12"/>
    <x v="12"/>
    <x v="12"/>
    <x v="10"/>
    <x v="116"/>
    <x v="144"/>
    <x v="71"/>
    <x v="245"/>
    <x v="118"/>
    <x v="189"/>
    <x v="1"/>
  </r>
  <r>
    <x v="0"/>
    <x v="16"/>
    <x v="16"/>
    <x v="4"/>
    <x v="4"/>
    <x v="4"/>
    <x v="11"/>
    <x v="138"/>
    <x v="183"/>
    <x v="67"/>
    <x v="243"/>
    <x v="98"/>
    <x v="200"/>
    <x v="1"/>
  </r>
  <r>
    <x v="0"/>
    <x v="16"/>
    <x v="16"/>
    <x v="18"/>
    <x v="18"/>
    <x v="18"/>
    <x v="12"/>
    <x v="132"/>
    <x v="184"/>
    <x v="54"/>
    <x v="246"/>
    <x v="107"/>
    <x v="201"/>
    <x v="1"/>
  </r>
  <r>
    <x v="0"/>
    <x v="16"/>
    <x v="16"/>
    <x v="11"/>
    <x v="11"/>
    <x v="11"/>
    <x v="13"/>
    <x v="119"/>
    <x v="10"/>
    <x v="95"/>
    <x v="11"/>
    <x v="66"/>
    <x v="64"/>
    <x v="1"/>
  </r>
  <r>
    <x v="0"/>
    <x v="16"/>
    <x v="16"/>
    <x v="14"/>
    <x v="14"/>
    <x v="14"/>
    <x v="14"/>
    <x v="50"/>
    <x v="49"/>
    <x v="48"/>
    <x v="247"/>
    <x v="76"/>
    <x v="202"/>
    <x v="1"/>
  </r>
  <r>
    <x v="0"/>
    <x v="16"/>
    <x v="16"/>
    <x v="7"/>
    <x v="7"/>
    <x v="7"/>
    <x v="14"/>
    <x v="50"/>
    <x v="49"/>
    <x v="70"/>
    <x v="248"/>
    <x v="44"/>
    <x v="61"/>
    <x v="1"/>
  </r>
  <r>
    <x v="0"/>
    <x v="16"/>
    <x v="16"/>
    <x v="17"/>
    <x v="17"/>
    <x v="17"/>
    <x v="16"/>
    <x v="53"/>
    <x v="80"/>
    <x v="110"/>
    <x v="157"/>
    <x v="56"/>
    <x v="33"/>
    <x v="1"/>
  </r>
  <r>
    <x v="0"/>
    <x v="16"/>
    <x v="16"/>
    <x v="23"/>
    <x v="23"/>
    <x v="23"/>
    <x v="17"/>
    <x v="54"/>
    <x v="52"/>
    <x v="86"/>
    <x v="215"/>
    <x v="68"/>
    <x v="93"/>
    <x v="1"/>
  </r>
  <r>
    <x v="0"/>
    <x v="16"/>
    <x v="16"/>
    <x v="58"/>
    <x v="58"/>
    <x v="58"/>
    <x v="18"/>
    <x v="55"/>
    <x v="138"/>
    <x v="100"/>
    <x v="249"/>
    <x v="44"/>
    <x v="61"/>
    <x v="1"/>
  </r>
  <r>
    <x v="0"/>
    <x v="16"/>
    <x v="16"/>
    <x v="43"/>
    <x v="43"/>
    <x v="43"/>
    <x v="19"/>
    <x v="58"/>
    <x v="175"/>
    <x v="97"/>
    <x v="250"/>
    <x v="64"/>
    <x v="130"/>
    <x v="1"/>
  </r>
  <r>
    <x v="0"/>
    <x v="16"/>
    <x v="16"/>
    <x v="20"/>
    <x v="20"/>
    <x v="20"/>
    <x v="19"/>
    <x v="58"/>
    <x v="175"/>
    <x v="67"/>
    <x v="243"/>
    <x v="59"/>
    <x v="168"/>
    <x v="1"/>
  </r>
  <r>
    <x v="0"/>
    <x v="17"/>
    <x v="17"/>
    <x v="0"/>
    <x v="0"/>
    <x v="0"/>
    <x v="0"/>
    <x v="153"/>
    <x v="185"/>
    <x v="136"/>
    <x v="251"/>
    <x v="122"/>
    <x v="203"/>
    <x v="1"/>
  </r>
  <r>
    <x v="0"/>
    <x v="17"/>
    <x v="17"/>
    <x v="1"/>
    <x v="1"/>
    <x v="1"/>
    <x v="1"/>
    <x v="154"/>
    <x v="186"/>
    <x v="116"/>
    <x v="252"/>
    <x v="54"/>
    <x v="44"/>
    <x v="1"/>
  </r>
  <r>
    <x v="0"/>
    <x v="17"/>
    <x v="17"/>
    <x v="2"/>
    <x v="2"/>
    <x v="2"/>
    <x v="2"/>
    <x v="59"/>
    <x v="187"/>
    <x v="137"/>
    <x v="253"/>
    <x v="50"/>
    <x v="50"/>
    <x v="1"/>
  </r>
  <r>
    <x v="0"/>
    <x v="17"/>
    <x v="17"/>
    <x v="5"/>
    <x v="5"/>
    <x v="5"/>
    <x v="3"/>
    <x v="125"/>
    <x v="188"/>
    <x v="124"/>
    <x v="254"/>
    <x v="44"/>
    <x v="27"/>
    <x v="1"/>
  </r>
  <r>
    <x v="0"/>
    <x v="17"/>
    <x v="17"/>
    <x v="7"/>
    <x v="7"/>
    <x v="7"/>
    <x v="4"/>
    <x v="111"/>
    <x v="189"/>
    <x v="138"/>
    <x v="255"/>
    <x v="44"/>
    <x v="27"/>
    <x v="1"/>
  </r>
  <r>
    <x v="0"/>
    <x v="17"/>
    <x v="17"/>
    <x v="8"/>
    <x v="8"/>
    <x v="8"/>
    <x v="5"/>
    <x v="99"/>
    <x v="4"/>
    <x v="108"/>
    <x v="256"/>
    <x v="74"/>
    <x v="157"/>
    <x v="1"/>
  </r>
  <r>
    <x v="0"/>
    <x v="17"/>
    <x v="17"/>
    <x v="12"/>
    <x v="12"/>
    <x v="12"/>
    <x v="6"/>
    <x v="62"/>
    <x v="76"/>
    <x v="82"/>
    <x v="99"/>
    <x v="123"/>
    <x v="204"/>
    <x v="1"/>
  </r>
  <r>
    <x v="0"/>
    <x v="17"/>
    <x v="17"/>
    <x v="13"/>
    <x v="13"/>
    <x v="13"/>
    <x v="7"/>
    <x v="114"/>
    <x v="190"/>
    <x v="97"/>
    <x v="257"/>
    <x v="90"/>
    <x v="121"/>
    <x v="6"/>
  </r>
  <r>
    <x v="0"/>
    <x v="17"/>
    <x v="17"/>
    <x v="6"/>
    <x v="6"/>
    <x v="6"/>
    <x v="7"/>
    <x v="114"/>
    <x v="190"/>
    <x v="65"/>
    <x v="258"/>
    <x v="69"/>
    <x v="2"/>
    <x v="1"/>
  </r>
  <r>
    <x v="0"/>
    <x v="17"/>
    <x v="17"/>
    <x v="10"/>
    <x v="10"/>
    <x v="10"/>
    <x v="9"/>
    <x v="63"/>
    <x v="86"/>
    <x v="120"/>
    <x v="259"/>
    <x v="55"/>
    <x v="205"/>
    <x v="1"/>
  </r>
  <r>
    <x v="0"/>
    <x v="17"/>
    <x v="17"/>
    <x v="3"/>
    <x v="3"/>
    <x v="3"/>
    <x v="9"/>
    <x v="63"/>
    <x v="86"/>
    <x v="139"/>
    <x v="260"/>
    <x v="67"/>
    <x v="177"/>
    <x v="1"/>
  </r>
  <r>
    <x v="0"/>
    <x v="17"/>
    <x v="17"/>
    <x v="9"/>
    <x v="9"/>
    <x v="9"/>
    <x v="11"/>
    <x v="47"/>
    <x v="77"/>
    <x v="122"/>
    <x v="261"/>
    <x v="67"/>
    <x v="177"/>
    <x v="6"/>
  </r>
  <r>
    <x v="0"/>
    <x v="17"/>
    <x v="17"/>
    <x v="58"/>
    <x v="58"/>
    <x v="58"/>
    <x v="12"/>
    <x v="132"/>
    <x v="89"/>
    <x v="122"/>
    <x v="261"/>
    <x v="46"/>
    <x v="206"/>
    <x v="1"/>
  </r>
  <r>
    <x v="0"/>
    <x v="17"/>
    <x v="17"/>
    <x v="15"/>
    <x v="15"/>
    <x v="15"/>
    <x v="13"/>
    <x v="49"/>
    <x v="155"/>
    <x v="46"/>
    <x v="174"/>
    <x v="51"/>
    <x v="110"/>
    <x v="1"/>
  </r>
  <r>
    <x v="0"/>
    <x v="17"/>
    <x v="17"/>
    <x v="4"/>
    <x v="4"/>
    <x v="4"/>
    <x v="14"/>
    <x v="119"/>
    <x v="147"/>
    <x v="55"/>
    <x v="245"/>
    <x v="92"/>
    <x v="207"/>
    <x v="1"/>
  </r>
  <r>
    <x v="0"/>
    <x v="17"/>
    <x v="17"/>
    <x v="16"/>
    <x v="16"/>
    <x v="16"/>
    <x v="15"/>
    <x v="124"/>
    <x v="91"/>
    <x v="75"/>
    <x v="51"/>
    <x v="101"/>
    <x v="208"/>
    <x v="1"/>
  </r>
  <r>
    <x v="0"/>
    <x v="17"/>
    <x v="17"/>
    <x v="23"/>
    <x v="23"/>
    <x v="23"/>
    <x v="16"/>
    <x v="133"/>
    <x v="12"/>
    <x v="96"/>
    <x v="262"/>
    <x v="55"/>
    <x v="205"/>
    <x v="1"/>
  </r>
  <r>
    <x v="0"/>
    <x v="17"/>
    <x v="17"/>
    <x v="59"/>
    <x v="59"/>
    <x v="59"/>
    <x v="17"/>
    <x v="134"/>
    <x v="13"/>
    <x v="57"/>
    <x v="193"/>
    <x v="119"/>
    <x v="165"/>
    <x v="1"/>
  </r>
  <r>
    <x v="0"/>
    <x v="17"/>
    <x v="17"/>
    <x v="19"/>
    <x v="19"/>
    <x v="19"/>
    <x v="18"/>
    <x v="51"/>
    <x v="99"/>
    <x v="74"/>
    <x v="203"/>
    <x v="105"/>
    <x v="209"/>
    <x v="1"/>
  </r>
  <r>
    <x v="0"/>
    <x v="17"/>
    <x v="17"/>
    <x v="14"/>
    <x v="14"/>
    <x v="14"/>
    <x v="19"/>
    <x v="52"/>
    <x v="108"/>
    <x v="58"/>
    <x v="36"/>
    <x v="61"/>
    <x v="193"/>
    <x v="1"/>
  </r>
  <r>
    <x v="0"/>
    <x v="18"/>
    <x v="18"/>
    <x v="0"/>
    <x v="0"/>
    <x v="0"/>
    <x v="0"/>
    <x v="155"/>
    <x v="191"/>
    <x v="140"/>
    <x v="130"/>
    <x v="124"/>
    <x v="210"/>
    <x v="1"/>
  </r>
  <r>
    <x v="0"/>
    <x v="18"/>
    <x v="18"/>
    <x v="5"/>
    <x v="5"/>
    <x v="5"/>
    <x v="1"/>
    <x v="156"/>
    <x v="192"/>
    <x v="141"/>
    <x v="263"/>
    <x v="66"/>
    <x v="151"/>
    <x v="6"/>
  </r>
  <r>
    <x v="0"/>
    <x v="18"/>
    <x v="18"/>
    <x v="2"/>
    <x v="2"/>
    <x v="2"/>
    <x v="2"/>
    <x v="61"/>
    <x v="193"/>
    <x v="142"/>
    <x v="264"/>
    <x v="47"/>
    <x v="116"/>
    <x v="1"/>
  </r>
  <r>
    <x v="0"/>
    <x v="18"/>
    <x v="18"/>
    <x v="1"/>
    <x v="1"/>
    <x v="1"/>
    <x v="3"/>
    <x v="89"/>
    <x v="84"/>
    <x v="89"/>
    <x v="265"/>
    <x v="69"/>
    <x v="211"/>
    <x v="1"/>
  </r>
  <r>
    <x v="0"/>
    <x v="18"/>
    <x v="18"/>
    <x v="3"/>
    <x v="3"/>
    <x v="3"/>
    <x v="4"/>
    <x v="96"/>
    <x v="44"/>
    <x v="109"/>
    <x v="266"/>
    <x v="66"/>
    <x v="151"/>
    <x v="1"/>
  </r>
  <r>
    <x v="0"/>
    <x v="18"/>
    <x v="18"/>
    <x v="4"/>
    <x v="4"/>
    <x v="4"/>
    <x v="5"/>
    <x v="126"/>
    <x v="27"/>
    <x v="57"/>
    <x v="53"/>
    <x v="99"/>
    <x v="212"/>
    <x v="1"/>
  </r>
  <r>
    <x v="0"/>
    <x v="18"/>
    <x v="18"/>
    <x v="6"/>
    <x v="6"/>
    <x v="6"/>
    <x v="6"/>
    <x v="62"/>
    <x v="194"/>
    <x v="93"/>
    <x v="267"/>
    <x v="56"/>
    <x v="17"/>
    <x v="1"/>
  </r>
  <r>
    <x v="0"/>
    <x v="18"/>
    <x v="18"/>
    <x v="10"/>
    <x v="10"/>
    <x v="10"/>
    <x v="7"/>
    <x v="63"/>
    <x v="7"/>
    <x v="119"/>
    <x v="268"/>
    <x v="75"/>
    <x v="70"/>
    <x v="1"/>
  </r>
  <r>
    <x v="0"/>
    <x v="18"/>
    <x v="18"/>
    <x v="7"/>
    <x v="7"/>
    <x v="7"/>
    <x v="8"/>
    <x v="157"/>
    <x v="9"/>
    <x v="43"/>
    <x v="269"/>
    <x v="56"/>
    <x v="17"/>
    <x v="1"/>
  </r>
  <r>
    <x v="0"/>
    <x v="18"/>
    <x v="18"/>
    <x v="22"/>
    <x v="22"/>
    <x v="22"/>
    <x v="9"/>
    <x v="116"/>
    <x v="119"/>
    <x v="56"/>
    <x v="270"/>
    <x v="89"/>
    <x v="184"/>
    <x v="6"/>
  </r>
  <r>
    <x v="0"/>
    <x v="18"/>
    <x v="18"/>
    <x v="8"/>
    <x v="8"/>
    <x v="8"/>
    <x v="10"/>
    <x v="138"/>
    <x v="165"/>
    <x v="69"/>
    <x v="271"/>
    <x v="76"/>
    <x v="130"/>
    <x v="1"/>
  </r>
  <r>
    <x v="0"/>
    <x v="18"/>
    <x v="18"/>
    <x v="12"/>
    <x v="12"/>
    <x v="12"/>
    <x v="11"/>
    <x v="64"/>
    <x v="166"/>
    <x v="68"/>
    <x v="272"/>
    <x v="121"/>
    <x v="213"/>
    <x v="1"/>
  </r>
  <r>
    <x v="0"/>
    <x v="18"/>
    <x v="18"/>
    <x v="9"/>
    <x v="9"/>
    <x v="9"/>
    <x v="11"/>
    <x v="64"/>
    <x v="166"/>
    <x v="106"/>
    <x v="273"/>
    <x v="61"/>
    <x v="132"/>
    <x v="6"/>
  </r>
  <r>
    <x v="0"/>
    <x v="18"/>
    <x v="18"/>
    <x v="16"/>
    <x v="16"/>
    <x v="16"/>
    <x v="13"/>
    <x v="145"/>
    <x v="120"/>
    <x v="74"/>
    <x v="57"/>
    <x v="62"/>
    <x v="214"/>
    <x v="1"/>
  </r>
  <r>
    <x v="0"/>
    <x v="18"/>
    <x v="18"/>
    <x v="18"/>
    <x v="18"/>
    <x v="18"/>
    <x v="14"/>
    <x v="123"/>
    <x v="32"/>
    <x v="92"/>
    <x v="274"/>
    <x v="54"/>
    <x v="23"/>
    <x v="1"/>
  </r>
  <r>
    <x v="0"/>
    <x v="18"/>
    <x v="18"/>
    <x v="13"/>
    <x v="13"/>
    <x v="13"/>
    <x v="15"/>
    <x v="119"/>
    <x v="50"/>
    <x v="83"/>
    <x v="172"/>
    <x v="89"/>
    <x v="184"/>
    <x v="1"/>
  </r>
  <r>
    <x v="0"/>
    <x v="18"/>
    <x v="18"/>
    <x v="44"/>
    <x v="44"/>
    <x v="44"/>
    <x v="16"/>
    <x v="50"/>
    <x v="51"/>
    <x v="49"/>
    <x v="247"/>
    <x v="61"/>
    <x v="132"/>
    <x v="1"/>
  </r>
  <r>
    <x v="0"/>
    <x v="18"/>
    <x v="18"/>
    <x v="59"/>
    <x v="59"/>
    <x v="59"/>
    <x v="17"/>
    <x v="124"/>
    <x v="137"/>
    <x v="107"/>
    <x v="275"/>
    <x v="53"/>
    <x v="215"/>
    <x v="1"/>
  </r>
  <r>
    <x v="0"/>
    <x v="18"/>
    <x v="18"/>
    <x v="19"/>
    <x v="19"/>
    <x v="19"/>
    <x v="17"/>
    <x v="124"/>
    <x v="137"/>
    <x v="83"/>
    <x v="172"/>
    <x v="105"/>
    <x v="176"/>
    <x v="1"/>
  </r>
  <r>
    <x v="0"/>
    <x v="18"/>
    <x v="18"/>
    <x v="14"/>
    <x v="14"/>
    <x v="14"/>
    <x v="19"/>
    <x v="133"/>
    <x v="148"/>
    <x v="110"/>
    <x v="276"/>
    <x v="61"/>
    <x v="132"/>
    <x v="1"/>
  </r>
  <r>
    <x v="0"/>
    <x v="19"/>
    <x v="19"/>
    <x v="0"/>
    <x v="0"/>
    <x v="0"/>
    <x v="0"/>
    <x v="158"/>
    <x v="195"/>
    <x v="143"/>
    <x v="277"/>
    <x v="125"/>
    <x v="216"/>
    <x v="1"/>
  </r>
  <r>
    <x v="0"/>
    <x v="19"/>
    <x v="19"/>
    <x v="5"/>
    <x v="5"/>
    <x v="5"/>
    <x v="1"/>
    <x v="130"/>
    <x v="196"/>
    <x v="144"/>
    <x v="278"/>
    <x v="63"/>
    <x v="206"/>
    <x v="1"/>
  </r>
  <r>
    <x v="0"/>
    <x v="19"/>
    <x v="19"/>
    <x v="1"/>
    <x v="1"/>
    <x v="1"/>
    <x v="2"/>
    <x v="112"/>
    <x v="197"/>
    <x v="118"/>
    <x v="279"/>
    <x v="61"/>
    <x v="56"/>
    <x v="1"/>
  </r>
  <r>
    <x v="0"/>
    <x v="19"/>
    <x v="19"/>
    <x v="6"/>
    <x v="6"/>
    <x v="6"/>
    <x v="3"/>
    <x v="122"/>
    <x v="161"/>
    <x v="45"/>
    <x v="189"/>
    <x v="74"/>
    <x v="217"/>
    <x v="1"/>
  </r>
  <r>
    <x v="0"/>
    <x v="19"/>
    <x v="19"/>
    <x v="8"/>
    <x v="8"/>
    <x v="8"/>
    <x v="4"/>
    <x v="113"/>
    <x v="162"/>
    <x v="43"/>
    <x v="280"/>
    <x v="43"/>
    <x v="38"/>
    <x v="1"/>
  </r>
  <r>
    <x v="0"/>
    <x v="19"/>
    <x v="19"/>
    <x v="10"/>
    <x v="10"/>
    <x v="10"/>
    <x v="5"/>
    <x v="114"/>
    <x v="198"/>
    <x v="145"/>
    <x v="281"/>
    <x v="108"/>
    <x v="71"/>
    <x v="1"/>
  </r>
  <r>
    <x v="0"/>
    <x v="19"/>
    <x v="19"/>
    <x v="7"/>
    <x v="7"/>
    <x v="7"/>
    <x v="6"/>
    <x v="63"/>
    <x v="3"/>
    <x v="121"/>
    <x v="28"/>
    <x v="66"/>
    <x v="218"/>
    <x v="1"/>
  </r>
  <r>
    <x v="0"/>
    <x v="19"/>
    <x v="19"/>
    <x v="3"/>
    <x v="3"/>
    <x v="3"/>
    <x v="7"/>
    <x v="101"/>
    <x v="199"/>
    <x v="77"/>
    <x v="137"/>
    <x v="67"/>
    <x v="171"/>
    <x v="1"/>
  </r>
  <r>
    <x v="0"/>
    <x v="19"/>
    <x v="19"/>
    <x v="14"/>
    <x v="14"/>
    <x v="14"/>
    <x v="8"/>
    <x v="118"/>
    <x v="97"/>
    <x v="69"/>
    <x v="9"/>
    <x v="69"/>
    <x v="219"/>
    <x v="1"/>
  </r>
  <r>
    <x v="0"/>
    <x v="19"/>
    <x v="19"/>
    <x v="2"/>
    <x v="2"/>
    <x v="2"/>
    <x v="8"/>
    <x v="118"/>
    <x v="97"/>
    <x v="122"/>
    <x v="282"/>
    <x v="61"/>
    <x v="56"/>
    <x v="1"/>
  </r>
  <r>
    <x v="0"/>
    <x v="19"/>
    <x v="19"/>
    <x v="23"/>
    <x v="23"/>
    <x v="23"/>
    <x v="10"/>
    <x v="48"/>
    <x v="61"/>
    <x v="64"/>
    <x v="283"/>
    <x v="65"/>
    <x v="200"/>
    <x v="1"/>
  </r>
  <r>
    <x v="0"/>
    <x v="19"/>
    <x v="19"/>
    <x v="57"/>
    <x v="57"/>
    <x v="57"/>
    <x v="11"/>
    <x v="133"/>
    <x v="200"/>
    <x v="111"/>
    <x v="158"/>
    <x v="113"/>
    <x v="220"/>
    <x v="0"/>
  </r>
  <r>
    <x v="0"/>
    <x v="19"/>
    <x v="19"/>
    <x v="41"/>
    <x v="41"/>
    <x v="41"/>
    <x v="12"/>
    <x v="53"/>
    <x v="134"/>
    <x v="102"/>
    <x v="194"/>
    <x v="74"/>
    <x v="217"/>
    <x v="1"/>
  </r>
  <r>
    <x v="0"/>
    <x v="19"/>
    <x v="19"/>
    <x v="12"/>
    <x v="12"/>
    <x v="12"/>
    <x v="13"/>
    <x v="55"/>
    <x v="31"/>
    <x v="71"/>
    <x v="284"/>
    <x v="91"/>
    <x v="101"/>
    <x v="1"/>
  </r>
  <r>
    <x v="0"/>
    <x v="19"/>
    <x v="19"/>
    <x v="58"/>
    <x v="58"/>
    <x v="58"/>
    <x v="14"/>
    <x v="57"/>
    <x v="80"/>
    <x v="101"/>
    <x v="285"/>
    <x v="66"/>
    <x v="218"/>
    <x v="1"/>
  </r>
  <r>
    <x v="0"/>
    <x v="19"/>
    <x v="19"/>
    <x v="30"/>
    <x v="30"/>
    <x v="30"/>
    <x v="15"/>
    <x v="70"/>
    <x v="53"/>
    <x v="56"/>
    <x v="286"/>
    <x v="67"/>
    <x v="171"/>
    <x v="1"/>
  </r>
  <r>
    <x v="0"/>
    <x v="19"/>
    <x v="19"/>
    <x v="13"/>
    <x v="13"/>
    <x v="13"/>
    <x v="16"/>
    <x v="68"/>
    <x v="157"/>
    <x v="57"/>
    <x v="287"/>
    <x v="41"/>
    <x v="53"/>
    <x v="1"/>
  </r>
  <r>
    <x v="0"/>
    <x v="19"/>
    <x v="19"/>
    <x v="18"/>
    <x v="18"/>
    <x v="18"/>
    <x v="17"/>
    <x v="72"/>
    <x v="201"/>
    <x v="96"/>
    <x v="186"/>
    <x v="63"/>
    <x v="206"/>
    <x v="1"/>
  </r>
  <r>
    <x v="0"/>
    <x v="19"/>
    <x v="19"/>
    <x v="29"/>
    <x v="29"/>
    <x v="29"/>
    <x v="17"/>
    <x v="72"/>
    <x v="201"/>
    <x v="80"/>
    <x v="288"/>
    <x v="66"/>
    <x v="218"/>
    <x v="1"/>
  </r>
  <r>
    <x v="0"/>
    <x v="19"/>
    <x v="19"/>
    <x v="61"/>
    <x v="61"/>
    <x v="61"/>
    <x v="19"/>
    <x v="73"/>
    <x v="202"/>
    <x v="51"/>
    <x v="289"/>
    <x v="69"/>
    <x v="219"/>
    <x v="1"/>
  </r>
  <r>
    <x v="0"/>
    <x v="20"/>
    <x v="20"/>
    <x v="0"/>
    <x v="0"/>
    <x v="0"/>
    <x v="0"/>
    <x v="159"/>
    <x v="203"/>
    <x v="143"/>
    <x v="290"/>
    <x v="126"/>
    <x v="221"/>
    <x v="1"/>
  </r>
  <r>
    <x v="0"/>
    <x v="20"/>
    <x v="20"/>
    <x v="3"/>
    <x v="3"/>
    <x v="3"/>
    <x v="1"/>
    <x v="160"/>
    <x v="95"/>
    <x v="146"/>
    <x v="291"/>
    <x v="47"/>
    <x v="191"/>
    <x v="1"/>
  </r>
  <r>
    <x v="0"/>
    <x v="20"/>
    <x v="20"/>
    <x v="6"/>
    <x v="6"/>
    <x v="6"/>
    <x v="2"/>
    <x v="161"/>
    <x v="204"/>
    <x v="147"/>
    <x v="292"/>
    <x v="107"/>
    <x v="222"/>
    <x v="1"/>
  </r>
  <r>
    <x v="0"/>
    <x v="20"/>
    <x v="20"/>
    <x v="1"/>
    <x v="1"/>
    <x v="1"/>
    <x v="3"/>
    <x v="162"/>
    <x v="114"/>
    <x v="148"/>
    <x v="40"/>
    <x v="48"/>
    <x v="26"/>
    <x v="1"/>
  </r>
  <r>
    <x v="0"/>
    <x v="20"/>
    <x v="20"/>
    <x v="48"/>
    <x v="48"/>
    <x v="48"/>
    <x v="4"/>
    <x v="163"/>
    <x v="164"/>
    <x v="53"/>
    <x v="99"/>
    <x v="127"/>
    <x v="213"/>
    <x v="1"/>
  </r>
  <r>
    <x v="0"/>
    <x v="20"/>
    <x v="20"/>
    <x v="2"/>
    <x v="2"/>
    <x v="2"/>
    <x v="5"/>
    <x v="86"/>
    <x v="205"/>
    <x v="39"/>
    <x v="293"/>
    <x v="42"/>
    <x v="164"/>
    <x v="1"/>
  </r>
  <r>
    <x v="0"/>
    <x v="20"/>
    <x v="20"/>
    <x v="17"/>
    <x v="17"/>
    <x v="17"/>
    <x v="6"/>
    <x v="164"/>
    <x v="206"/>
    <x v="149"/>
    <x v="24"/>
    <x v="54"/>
    <x v="223"/>
    <x v="1"/>
  </r>
  <r>
    <x v="0"/>
    <x v="20"/>
    <x v="20"/>
    <x v="34"/>
    <x v="34"/>
    <x v="34"/>
    <x v="7"/>
    <x v="165"/>
    <x v="117"/>
    <x v="59"/>
    <x v="185"/>
    <x v="128"/>
    <x v="224"/>
    <x v="1"/>
  </r>
  <r>
    <x v="0"/>
    <x v="20"/>
    <x v="20"/>
    <x v="5"/>
    <x v="5"/>
    <x v="5"/>
    <x v="8"/>
    <x v="87"/>
    <x v="207"/>
    <x v="150"/>
    <x v="294"/>
    <x v="69"/>
    <x v="89"/>
    <x v="1"/>
  </r>
  <r>
    <x v="0"/>
    <x v="20"/>
    <x v="20"/>
    <x v="20"/>
    <x v="20"/>
    <x v="20"/>
    <x v="9"/>
    <x v="151"/>
    <x v="118"/>
    <x v="101"/>
    <x v="270"/>
    <x v="129"/>
    <x v="225"/>
    <x v="1"/>
  </r>
  <r>
    <x v="0"/>
    <x v="20"/>
    <x v="20"/>
    <x v="27"/>
    <x v="27"/>
    <x v="27"/>
    <x v="10"/>
    <x v="166"/>
    <x v="63"/>
    <x v="53"/>
    <x v="99"/>
    <x v="28"/>
    <x v="226"/>
    <x v="1"/>
  </r>
  <r>
    <x v="0"/>
    <x v="20"/>
    <x v="20"/>
    <x v="13"/>
    <x v="13"/>
    <x v="13"/>
    <x v="11"/>
    <x v="129"/>
    <x v="208"/>
    <x v="83"/>
    <x v="295"/>
    <x v="130"/>
    <x v="174"/>
    <x v="1"/>
  </r>
  <r>
    <x v="0"/>
    <x v="20"/>
    <x v="20"/>
    <x v="4"/>
    <x v="4"/>
    <x v="4"/>
    <x v="12"/>
    <x v="167"/>
    <x v="146"/>
    <x v="51"/>
    <x v="296"/>
    <x v="131"/>
    <x v="184"/>
    <x v="1"/>
  </r>
  <r>
    <x v="0"/>
    <x v="20"/>
    <x v="20"/>
    <x v="12"/>
    <x v="12"/>
    <x v="12"/>
    <x v="13"/>
    <x v="142"/>
    <x v="49"/>
    <x v="71"/>
    <x v="102"/>
    <x v="132"/>
    <x v="13"/>
    <x v="3"/>
  </r>
  <r>
    <x v="0"/>
    <x v="20"/>
    <x v="20"/>
    <x v="19"/>
    <x v="19"/>
    <x v="19"/>
    <x v="14"/>
    <x v="42"/>
    <x v="209"/>
    <x v="75"/>
    <x v="297"/>
    <x v="133"/>
    <x v="166"/>
    <x v="1"/>
  </r>
  <r>
    <x v="0"/>
    <x v="20"/>
    <x v="20"/>
    <x v="21"/>
    <x v="21"/>
    <x v="21"/>
    <x v="15"/>
    <x v="168"/>
    <x v="12"/>
    <x v="71"/>
    <x v="102"/>
    <x v="134"/>
    <x v="129"/>
    <x v="11"/>
  </r>
  <r>
    <x v="0"/>
    <x v="20"/>
    <x v="20"/>
    <x v="11"/>
    <x v="11"/>
    <x v="11"/>
    <x v="16"/>
    <x v="92"/>
    <x v="98"/>
    <x v="151"/>
    <x v="298"/>
    <x v="61"/>
    <x v="61"/>
    <x v="1"/>
  </r>
  <r>
    <x v="0"/>
    <x v="20"/>
    <x v="20"/>
    <x v="8"/>
    <x v="8"/>
    <x v="8"/>
    <x v="17"/>
    <x v="112"/>
    <x v="64"/>
    <x v="152"/>
    <x v="248"/>
    <x v="50"/>
    <x v="171"/>
    <x v="1"/>
  </r>
  <r>
    <x v="0"/>
    <x v="20"/>
    <x v="20"/>
    <x v="62"/>
    <x v="62"/>
    <x v="62"/>
    <x v="18"/>
    <x v="121"/>
    <x v="137"/>
    <x v="50"/>
    <x v="299"/>
    <x v="60"/>
    <x v="201"/>
    <x v="1"/>
  </r>
  <r>
    <x v="0"/>
    <x v="20"/>
    <x v="20"/>
    <x v="14"/>
    <x v="14"/>
    <x v="14"/>
    <x v="19"/>
    <x v="105"/>
    <x v="36"/>
    <x v="69"/>
    <x v="112"/>
    <x v="119"/>
    <x v="6"/>
    <x v="1"/>
  </r>
  <r>
    <x v="0"/>
    <x v="21"/>
    <x v="21"/>
    <x v="0"/>
    <x v="0"/>
    <x v="0"/>
    <x v="0"/>
    <x v="161"/>
    <x v="210"/>
    <x v="138"/>
    <x v="300"/>
    <x v="57"/>
    <x v="227"/>
    <x v="1"/>
  </r>
  <r>
    <x v="0"/>
    <x v="21"/>
    <x v="21"/>
    <x v="1"/>
    <x v="1"/>
    <x v="1"/>
    <x v="1"/>
    <x v="43"/>
    <x v="211"/>
    <x v="85"/>
    <x v="301"/>
    <x v="61"/>
    <x v="67"/>
    <x v="1"/>
  </r>
  <r>
    <x v="0"/>
    <x v="21"/>
    <x v="21"/>
    <x v="4"/>
    <x v="4"/>
    <x v="4"/>
    <x v="2"/>
    <x v="117"/>
    <x v="170"/>
    <x v="74"/>
    <x v="26"/>
    <x v="100"/>
    <x v="228"/>
    <x v="1"/>
  </r>
  <r>
    <x v="0"/>
    <x v="21"/>
    <x v="21"/>
    <x v="12"/>
    <x v="12"/>
    <x v="12"/>
    <x v="3"/>
    <x v="118"/>
    <x v="58"/>
    <x v="82"/>
    <x v="128"/>
    <x v="135"/>
    <x v="229"/>
    <x v="0"/>
  </r>
  <r>
    <x v="0"/>
    <x v="21"/>
    <x v="21"/>
    <x v="3"/>
    <x v="3"/>
    <x v="3"/>
    <x v="4"/>
    <x v="48"/>
    <x v="212"/>
    <x v="47"/>
    <x v="302"/>
    <x v="56"/>
    <x v="178"/>
    <x v="1"/>
  </r>
  <r>
    <x v="0"/>
    <x v="21"/>
    <x v="21"/>
    <x v="10"/>
    <x v="10"/>
    <x v="10"/>
    <x v="5"/>
    <x v="119"/>
    <x v="25"/>
    <x v="102"/>
    <x v="123"/>
    <x v="52"/>
    <x v="146"/>
    <x v="1"/>
  </r>
  <r>
    <x v="0"/>
    <x v="21"/>
    <x v="21"/>
    <x v="2"/>
    <x v="2"/>
    <x v="2"/>
    <x v="6"/>
    <x v="133"/>
    <x v="97"/>
    <x v="49"/>
    <x v="303"/>
    <x v="67"/>
    <x v="230"/>
    <x v="1"/>
  </r>
  <r>
    <x v="0"/>
    <x v="21"/>
    <x v="21"/>
    <x v="7"/>
    <x v="7"/>
    <x v="7"/>
    <x v="7"/>
    <x v="69"/>
    <x v="45"/>
    <x v="99"/>
    <x v="304"/>
    <x v="56"/>
    <x v="178"/>
    <x v="1"/>
  </r>
  <r>
    <x v="0"/>
    <x v="21"/>
    <x v="21"/>
    <x v="15"/>
    <x v="15"/>
    <x v="15"/>
    <x v="8"/>
    <x v="53"/>
    <x v="8"/>
    <x v="71"/>
    <x v="4"/>
    <x v="119"/>
    <x v="231"/>
    <x v="1"/>
  </r>
  <r>
    <x v="0"/>
    <x v="21"/>
    <x v="21"/>
    <x v="16"/>
    <x v="16"/>
    <x v="16"/>
    <x v="9"/>
    <x v="56"/>
    <x v="166"/>
    <x v="75"/>
    <x v="126"/>
    <x v="119"/>
    <x v="231"/>
    <x v="1"/>
  </r>
  <r>
    <x v="0"/>
    <x v="21"/>
    <x v="21"/>
    <x v="8"/>
    <x v="8"/>
    <x v="8"/>
    <x v="9"/>
    <x v="56"/>
    <x v="166"/>
    <x v="113"/>
    <x v="305"/>
    <x v="61"/>
    <x v="67"/>
    <x v="1"/>
  </r>
  <r>
    <x v="0"/>
    <x v="21"/>
    <x v="21"/>
    <x v="5"/>
    <x v="5"/>
    <x v="5"/>
    <x v="11"/>
    <x v="57"/>
    <x v="156"/>
    <x v="101"/>
    <x v="260"/>
    <x v="66"/>
    <x v="218"/>
    <x v="1"/>
  </r>
  <r>
    <x v="0"/>
    <x v="21"/>
    <x v="21"/>
    <x v="22"/>
    <x v="22"/>
    <x v="22"/>
    <x v="12"/>
    <x v="71"/>
    <x v="213"/>
    <x v="71"/>
    <x v="4"/>
    <x v="42"/>
    <x v="49"/>
    <x v="1"/>
  </r>
  <r>
    <x v="0"/>
    <x v="21"/>
    <x v="21"/>
    <x v="23"/>
    <x v="23"/>
    <x v="23"/>
    <x v="13"/>
    <x v="107"/>
    <x v="66"/>
    <x v="57"/>
    <x v="250"/>
    <x v="75"/>
    <x v="232"/>
    <x v="1"/>
  </r>
  <r>
    <x v="0"/>
    <x v="21"/>
    <x v="21"/>
    <x v="24"/>
    <x v="24"/>
    <x v="24"/>
    <x v="14"/>
    <x v="104"/>
    <x v="35"/>
    <x v="59"/>
    <x v="92"/>
    <x v="50"/>
    <x v="233"/>
    <x v="1"/>
  </r>
  <r>
    <x v="0"/>
    <x v="21"/>
    <x v="21"/>
    <x v="14"/>
    <x v="14"/>
    <x v="14"/>
    <x v="14"/>
    <x v="104"/>
    <x v="35"/>
    <x v="54"/>
    <x v="103"/>
    <x v="67"/>
    <x v="230"/>
    <x v="1"/>
  </r>
  <r>
    <x v="0"/>
    <x v="21"/>
    <x v="21"/>
    <x v="6"/>
    <x v="6"/>
    <x v="6"/>
    <x v="14"/>
    <x v="104"/>
    <x v="35"/>
    <x v="73"/>
    <x v="306"/>
    <x v="63"/>
    <x v="24"/>
    <x v="1"/>
  </r>
  <r>
    <x v="0"/>
    <x v="21"/>
    <x v="21"/>
    <x v="47"/>
    <x v="47"/>
    <x v="47"/>
    <x v="14"/>
    <x v="104"/>
    <x v="35"/>
    <x v="52"/>
    <x v="307"/>
    <x v="61"/>
    <x v="67"/>
    <x v="1"/>
  </r>
  <r>
    <x v="0"/>
    <x v="21"/>
    <x v="21"/>
    <x v="9"/>
    <x v="9"/>
    <x v="9"/>
    <x v="18"/>
    <x v="72"/>
    <x v="14"/>
    <x v="54"/>
    <x v="103"/>
    <x v="63"/>
    <x v="24"/>
    <x v="6"/>
  </r>
  <r>
    <x v="0"/>
    <x v="21"/>
    <x v="21"/>
    <x v="19"/>
    <x v="19"/>
    <x v="19"/>
    <x v="19"/>
    <x v="73"/>
    <x v="17"/>
    <x v="75"/>
    <x v="126"/>
    <x v="50"/>
    <x v="233"/>
    <x v="1"/>
  </r>
  <r>
    <x v="0"/>
    <x v="21"/>
    <x v="21"/>
    <x v="63"/>
    <x v="63"/>
    <x v="63"/>
    <x v="19"/>
    <x v="73"/>
    <x v="17"/>
    <x v="71"/>
    <x v="4"/>
    <x v="41"/>
    <x v="68"/>
    <x v="1"/>
  </r>
  <r>
    <x v="0"/>
    <x v="21"/>
    <x v="21"/>
    <x v="13"/>
    <x v="13"/>
    <x v="13"/>
    <x v="19"/>
    <x v="73"/>
    <x v="17"/>
    <x v="68"/>
    <x v="203"/>
    <x v="47"/>
    <x v="172"/>
    <x v="1"/>
  </r>
  <r>
    <x v="0"/>
    <x v="22"/>
    <x v="22"/>
    <x v="0"/>
    <x v="0"/>
    <x v="0"/>
    <x v="0"/>
    <x v="87"/>
    <x v="214"/>
    <x v="87"/>
    <x v="308"/>
    <x v="136"/>
    <x v="234"/>
    <x v="1"/>
  </r>
  <r>
    <x v="0"/>
    <x v="22"/>
    <x v="22"/>
    <x v="1"/>
    <x v="1"/>
    <x v="1"/>
    <x v="1"/>
    <x v="93"/>
    <x v="82"/>
    <x v="109"/>
    <x v="309"/>
    <x v="54"/>
    <x v="235"/>
    <x v="1"/>
  </r>
  <r>
    <x v="0"/>
    <x v="22"/>
    <x v="22"/>
    <x v="5"/>
    <x v="5"/>
    <x v="5"/>
    <x v="2"/>
    <x v="100"/>
    <x v="215"/>
    <x v="45"/>
    <x v="105"/>
    <x v="56"/>
    <x v="143"/>
    <x v="1"/>
  </r>
  <r>
    <x v="0"/>
    <x v="22"/>
    <x v="22"/>
    <x v="2"/>
    <x v="2"/>
    <x v="2"/>
    <x v="3"/>
    <x v="114"/>
    <x v="21"/>
    <x v="61"/>
    <x v="293"/>
    <x v="64"/>
    <x v="182"/>
    <x v="1"/>
  </r>
  <r>
    <x v="0"/>
    <x v="22"/>
    <x v="22"/>
    <x v="7"/>
    <x v="7"/>
    <x v="7"/>
    <x v="4"/>
    <x v="118"/>
    <x v="75"/>
    <x v="87"/>
    <x v="308"/>
    <x v="66"/>
    <x v="236"/>
    <x v="1"/>
  </r>
  <r>
    <x v="0"/>
    <x v="22"/>
    <x v="22"/>
    <x v="3"/>
    <x v="3"/>
    <x v="3"/>
    <x v="5"/>
    <x v="47"/>
    <x v="127"/>
    <x v="122"/>
    <x v="310"/>
    <x v="72"/>
    <x v="57"/>
    <x v="1"/>
  </r>
  <r>
    <x v="0"/>
    <x v="22"/>
    <x v="22"/>
    <x v="14"/>
    <x v="14"/>
    <x v="14"/>
    <x v="6"/>
    <x v="123"/>
    <x v="117"/>
    <x v="92"/>
    <x v="227"/>
    <x v="54"/>
    <x v="235"/>
    <x v="1"/>
  </r>
  <r>
    <x v="0"/>
    <x v="22"/>
    <x v="22"/>
    <x v="8"/>
    <x v="8"/>
    <x v="8"/>
    <x v="7"/>
    <x v="133"/>
    <x v="118"/>
    <x v="76"/>
    <x v="311"/>
    <x v="74"/>
    <x v="237"/>
    <x v="1"/>
  </r>
  <r>
    <x v="0"/>
    <x v="22"/>
    <x v="22"/>
    <x v="64"/>
    <x v="64"/>
    <x v="64"/>
    <x v="8"/>
    <x v="51"/>
    <x v="78"/>
    <x v="82"/>
    <x v="297"/>
    <x v="92"/>
    <x v="238"/>
    <x v="1"/>
  </r>
  <r>
    <x v="0"/>
    <x v="22"/>
    <x v="22"/>
    <x v="18"/>
    <x v="18"/>
    <x v="18"/>
    <x v="9"/>
    <x v="52"/>
    <x v="216"/>
    <x v="113"/>
    <x v="312"/>
    <x v="48"/>
    <x v="219"/>
    <x v="1"/>
  </r>
  <r>
    <x v="0"/>
    <x v="22"/>
    <x v="22"/>
    <x v="23"/>
    <x v="23"/>
    <x v="23"/>
    <x v="9"/>
    <x v="52"/>
    <x v="216"/>
    <x v="46"/>
    <x v="139"/>
    <x v="70"/>
    <x v="92"/>
    <x v="1"/>
  </r>
  <r>
    <x v="0"/>
    <x v="22"/>
    <x v="22"/>
    <x v="6"/>
    <x v="6"/>
    <x v="6"/>
    <x v="9"/>
    <x v="52"/>
    <x v="216"/>
    <x v="110"/>
    <x v="313"/>
    <x v="44"/>
    <x v="181"/>
    <x v="1"/>
  </r>
  <r>
    <x v="0"/>
    <x v="22"/>
    <x v="22"/>
    <x v="16"/>
    <x v="16"/>
    <x v="16"/>
    <x v="12"/>
    <x v="106"/>
    <x v="13"/>
    <x v="75"/>
    <x v="101"/>
    <x v="107"/>
    <x v="239"/>
    <x v="1"/>
  </r>
  <r>
    <x v="0"/>
    <x v="22"/>
    <x v="22"/>
    <x v="65"/>
    <x v="65"/>
    <x v="65"/>
    <x v="13"/>
    <x v="57"/>
    <x v="31"/>
    <x v="55"/>
    <x v="172"/>
    <x v="49"/>
    <x v="240"/>
    <x v="1"/>
  </r>
  <r>
    <x v="0"/>
    <x v="22"/>
    <x v="22"/>
    <x v="4"/>
    <x v="4"/>
    <x v="4"/>
    <x v="13"/>
    <x v="57"/>
    <x v="31"/>
    <x v="82"/>
    <x v="297"/>
    <x v="119"/>
    <x v="179"/>
    <x v="1"/>
  </r>
  <r>
    <x v="0"/>
    <x v="22"/>
    <x v="22"/>
    <x v="13"/>
    <x v="13"/>
    <x v="13"/>
    <x v="15"/>
    <x v="58"/>
    <x v="108"/>
    <x v="57"/>
    <x v="124"/>
    <x v="50"/>
    <x v="169"/>
    <x v="1"/>
  </r>
  <r>
    <x v="0"/>
    <x v="22"/>
    <x v="22"/>
    <x v="10"/>
    <x v="10"/>
    <x v="10"/>
    <x v="16"/>
    <x v="71"/>
    <x v="35"/>
    <x v="64"/>
    <x v="314"/>
    <x v="43"/>
    <x v="241"/>
    <x v="1"/>
  </r>
  <r>
    <x v="0"/>
    <x v="22"/>
    <x v="22"/>
    <x v="45"/>
    <x v="45"/>
    <x v="45"/>
    <x v="17"/>
    <x v="68"/>
    <x v="14"/>
    <x v="51"/>
    <x v="315"/>
    <x v="64"/>
    <x v="182"/>
    <x v="1"/>
  </r>
  <r>
    <x v="0"/>
    <x v="22"/>
    <x v="22"/>
    <x v="38"/>
    <x v="38"/>
    <x v="38"/>
    <x v="18"/>
    <x v="103"/>
    <x v="16"/>
    <x v="75"/>
    <x v="101"/>
    <x v="58"/>
    <x v="16"/>
    <x v="1"/>
  </r>
  <r>
    <x v="0"/>
    <x v="22"/>
    <x v="22"/>
    <x v="31"/>
    <x v="31"/>
    <x v="31"/>
    <x v="18"/>
    <x v="103"/>
    <x v="16"/>
    <x v="80"/>
    <x v="285"/>
    <x v="63"/>
    <x v="26"/>
    <x v="1"/>
  </r>
  <r>
    <x v="0"/>
    <x v="23"/>
    <x v="23"/>
    <x v="0"/>
    <x v="0"/>
    <x v="0"/>
    <x v="0"/>
    <x v="169"/>
    <x v="217"/>
    <x v="145"/>
    <x v="182"/>
    <x v="137"/>
    <x v="242"/>
    <x v="1"/>
  </r>
  <r>
    <x v="0"/>
    <x v="23"/>
    <x v="23"/>
    <x v="4"/>
    <x v="4"/>
    <x v="4"/>
    <x v="1"/>
    <x v="170"/>
    <x v="218"/>
    <x v="46"/>
    <x v="152"/>
    <x v="40"/>
    <x v="234"/>
    <x v="1"/>
  </r>
  <r>
    <x v="0"/>
    <x v="23"/>
    <x v="23"/>
    <x v="1"/>
    <x v="1"/>
    <x v="1"/>
    <x v="2"/>
    <x v="171"/>
    <x v="219"/>
    <x v="153"/>
    <x v="316"/>
    <x v="52"/>
    <x v="1"/>
    <x v="1"/>
  </r>
  <r>
    <x v="0"/>
    <x v="23"/>
    <x v="23"/>
    <x v="2"/>
    <x v="2"/>
    <x v="2"/>
    <x v="3"/>
    <x v="86"/>
    <x v="220"/>
    <x v="149"/>
    <x v="178"/>
    <x v="76"/>
    <x v="67"/>
    <x v="1"/>
  </r>
  <r>
    <x v="0"/>
    <x v="23"/>
    <x v="23"/>
    <x v="5"/>
    <x v="5"/>
    <x v="5"/>
    <x v="4"/>
    <x v="110"/>
    <x v="221"/>
    <x v="154"/>
    <x v="107"/>
    <x v="63"/>
    <x v="178"/>
    <x v="1"/>
  </r>
  <r>
    <x v="0"/>
    <x v="23"/>
    <x v="23"/>
    <x v="40"/>
    <x v="40"/>
    <x v="40"/>
    <x v="5"/>
    <x v="172"/>
    <x v="73"/>
    <x v="119"/>
    <x v="317"/>
    <x v="95"/>
    <x v="243"/>
    <x v="1"/>
  </r>
  <r>
    <x v="0"/>
    <x v="23"/>
    <x v="23"/>
    <x v="3"/>
    <x v="3"/>
    <x v="3"/>
    <x v="6"/>
    <x v="142"/>
    <x v="164"/>
    <x v="33"/>
    <x v="108"/>
    <x v="44"/>
    <x v="33"/>
    <x v="1"/>
  </r>
  <r>
    <x v="0"/>
    <x v="23"/>
    <x v="23"/>
    <x v="7"/>
    <x v="7"/>
    <x v="7"/>
    <x v="7"/>
    <x v="173"/>
    <x v="28"/>
    <x v="118"/>
    <x v="318"/>
    <x v="56"/>
    <x v="236"/>
    <x v="1"/>
  </r>
  <r>
    <x v="0"/>
    <x v="23"/>
    <x v="23"/>
    <x v="12"/>
    <x v="12"/>
    <x v="12"/>
    <x v="8"/>
    <x v="143"/>
    <x v="200"/>
    <x v="53"/>
    <x v="319"/>
    <x v="138"/>
    <x v="244"/>
    <x v="1"/>
  </r>
  <r>
    <x v="0"/>
    <x v="23"/>
    <x v="23"/>
    <x v="8"/>
    <x v="8"/>
    <x v="8"/>
    <x v="9"/>
    <x v="96"/>
    <x v="155"/>
    <x v="133"/>
    <x v="271"/>
    <x v="97"/>
    <x v="10"/>
    <x v="1"/>
  </r>
  <r>
    <x v="0"/>
    <x v="23"/>
    <x v="23"/>
    <x v="10"/>
    <x v="10"/>
    <x v="10"/>
    <x v="10"/>
    <x v="97"/>
    <x v="79"/>
    <x v="128"/>
    <x v="115"/>
    <x v="77"/>
    <x v="50"/>
    <x v="6"/>
  </r>
  <r>
    <x v="0"/>
    <x v="23"/>
    <x v="23"/>
    <x v="52"/>
    <x v="52"/>
    <x v="52"/>
    <x v="11"/>
    <x v="100"/>
    <x v="134"/>
    <x v="128"/>
    <x v="115"/>
    <x v="105"/>
    <x v="245"/>
    <x v="1"/>
  </r>
  <r>
    <x v="0"/>
    <x v="23"/>
    <x v="23"/>
    <x v="6"/>
    <x v="6"/>
    <x v="6"/>
    <x v="12"/>
    <x v="62"/>
    <x v="64"/>
    <x v="112"/>
    <x v="320"/>
    <x v="72"/>
    <x v="77"/>
    <x v="1"/>
  </r>
  <r>
    <x v="0"/>
    <x v="23"/>
    <x v="23"/>
    <x v="15"/>
    <x v="15"/>
    <x v="15"/>
    <x v="13"/>
    <x v="115"/>
    <x v="99"/>
    <x v="51"/>
    <x v="193"/>
    <x v="98"/>
    <x v="103"/>
    <x v="6"/>
  </r>
  <r>
    <x v="0"/>
    <x v="23"/>
    <x v="23"/>
    <x v="14"/>
    <x v="14"/>
    <x v="14"/>
    <x v="13"/>
    <x v="115"/>
    <x v="99"/>
    <x v="145"/>
    <x v="182"/>
    <x v="54"/>
    <x v="145"/>
    <x v="1"/>
  </r>
  <r>
    <x v="0"/>
    <x v="23"/>
    <x v="23"/>
    <x v="24"/>
    <x v="24"/>
    <x v="24"/>
    <x v="15"/>
    <x v="101"/>
    <x v="67"/>
    <x v="57"/>
    <x v="203"/>
    <x v="90"/>
    <x v="111"/>
    <x v="1"/>
  </r>
  <r>
    <x v="0"/>
    <x v="23"/>
    <x v="23"/>
    <x v="22"/>
    <x v="22"/>
    <x v="22"/>
    <x v="16"/>
    <x v="102"/>
    <x v="14"/>
    <x v="79"/>
    <x v="321"/>
    <x v="119"/>
    <x v="43"/>
    <x v="1"/>
  </r>
  <r>
    <x v="0"/>
    <x v="23"/>
    <x v="23"/>
    <x v="63"/>
    <x v="63"/>
    <x v="63"/>
    <x v="17"/>
    <x v="47"/>
    <x v="16"/>
    <x v="128"/>
    <x v="115"/>
    <x v="59"/>
    <x v="222"/>
    <x v="1"/>
  </r>
  <r>
    <x v="0"/>
    <x v="23"/>
    <x v="23"/>
    <x v="66"/>
    <x v="66"/>
    <x v="66"/>
    <x v="18"/>
    <x v="48"/>
    <x v="128"/>
    <x v="68"/>
    <x v="322"/>
    <x v="90"/>
    <x v="111"/>
    <x v="1"/>
  </r>
  <r>
    <x v="0"/>
    <x v="23"/>
    <x v="23"/>
    <x v="13"/>
    <x v="13"/>
    <x v="13"/>
    <x v="19"/>
    <x v="49"/>
    <x v="222"/>
    <x v="67"/>
    <x v="140"/>
    <x v="77"/>
    <x v="50"/>
    <x v="1"/>
  </r>
  <r>
    <x v="0"/>
    <x v="24"/>
    <x v="24"/>
    <x v="11"/>
    <x v="11"/>
    <x v="11"/>
    <x v="0"/>
    <x v="174"/>
    <x v="223"/>
    <x v="155"/>
    <x v="323"/>
    <x v="125"/>
    <x v="48"/>
    <x v="1"/>
  </r>
  <r>
    <x v="0"/>
    <x v="24"/>
    <x v="24"/>
    <x v="67"/>
    <x v="67"/>
    <x v="67"/>
    <x v="1"/>
    <x v="175"/>
    <x v="224"/>
    <x v="156"/>
    <x v="324"/>
    <x v="53"/>
    <x v="98"/>
    <x v="1"/>
  </r>
  <r>
    <x v="0"/>
    <x v="24"/>
    <x v="24"/>
    <x v="6"/>
    <x v="6"/>
    <x v="6"/>
    <x v="2"/>
    <x v="176"/>
    <x v="225"/>
    <x v="157"/>
    <x v="325"/>
    <x v="139"/>
    <x v="124"/>
    <x v="1"/>
  </r>
  <r>
    <x v="0"/>
    <x v="24"/>
    <x v="24"/>
    <x v="17"/>
    <x v="17"/>
    <x v="17"/>
    <x v="3"/>
    <x v="177"/>
    <x v="226"/>
    <x v="158"/>
    <x v="326"/>
    <x v="91"/>
    <x v="196"/>
    <x v="1"/>
  </r>
  <r>
    <x v="0"/>
    <x v="24"/>
    <x v="24"/>
    <x v="3"/>
    <x v="3"/>
    <x v="3"/>
    <x v="4"/>
    <x v="178"/>
    <x v="227"/>
    <x v="159"/>
    <x v="327"/>
    <x v="125"/>
    <x v="48"/>
    <x v="1"/>
  </r>
  <r>
    <x v="0"/>
    <x v="24"/>
    <x v="24"/>
    <x v="0"/>
    <x v="0"/>
    <x v="0"/>
    <x v="5"/>
    <x v="179"/>
    <x v="84"/>
    <x v="160"/>
    <x v="225"/>
    <x v="140"/>
    <x v="246"/>
    <x v="1"/>
  </r>
  <r>
    <x v="0"/>
    <x v="24"/>
    <x v="24"/>
    <x v="4"/>
    <x v="4"/>
    <x v="4"/>
    <x v="6"/>
    <x v="180"/>
    <x v="42"/>
    <x v="161"/>
    <x v="285"/>
    <x v="141"/>
    <x v="247"/>
    <x v="1"/>
  </r>
  <r>
    <x v="0"/>
    <x v="24"/>
    <x v="24"/>
    <x v="20"/>
    <x v="20"/>
    <x v="20"/>
    <x v="7"/>
    <x v="181"/>
    <x v="163"/>
    <x v="162"/>
    <x v="328"/>
    <x v="142"/>
    <x v="90"/>
    <x v="6"/>
  </r>
  <r>
    <x v="0"/>
    <x v="24"/>
    <x v="24"/>
    <x v="21"/>
    <x v="21"/>
    <x v="21"/>
    <x v="8"/>
    <x v="182"/>
    <x v="87"/>
    <x v="97"/>
    <x v="232"/>
    <x v="143"/>
    <x v="85"/>
    <x v="3"/>
  </r>
  <r>
    <x v="0"/>
    <x v="24"/>
    <x v="24"/>
    <x v="8"/>
    <x v="8"/>
    <x v="8"/>
    <x v="9"/>
    <x v="183"/>
    <x v="117"/>
    <x v="163"/>
    <x v="329"/>
    <x v="144"/>
    <x v="248"/>
    <x v="1"/>
  </r>
  <r>
    <x v="0"/>
    <x v="24"/>
    <x v="24"/>
    <x v="35"/>
    <x v="35"/>
    <x v="35"/>
    <x v="10"/>
    <x v="184"/>
    <x v="26"/>
    <x v="114"/>
    <x v="73"/>
    <x v="145"/>
    <x v="249"/>
    <x v="3"/>
  </r>
  <r>
    <x v="0"/>
    <x v="24"/>
    <x v="24"/>
    <x v="13"/>
    <x v="13"/>
    <x v="13"/>
    <x v="11"/>
    <x v="185"/>
    <x v="28"/>
    <x v="79"/>
    <x v="245"/>
    <x v="146"/>
    <x v="231"/>
    <x v="1"/>
  </r>
  <r>
    <x v="0"/>
    <x v="24"/>
    <x v="24"/>
    <x v="36"/>
    <x v="36"/>
    <x v="36"/>
    <x v="12"/>
    <x v="186"/>
    <x v="9"/>
    <x v="71"/>
    <x v="319"/>
    <x v="147"/>
    <x v="250"/>
    <x v="1"/>
  </r>
  <r>
    <x v="0"/>
    <x v="24"/>
    <x v="24"/>
    <x v="2"/>
    <x v="2"/>
    <x v="2"/>
    <x v="13"/>
    <x v="158"/>
    <x v="216"/>
    <x v="164"/>
    <x v="47"/>
    <x v="86"/>
    <x v="23"/>
    <x v="1"/>
  </r>
  <r>
    <x v="0"/>
    <x v="24"/>
    <x v="24"/>
    <x v="1"/>
    <x v="1"/>
    <x v="1"/>
    <x v="14"/>
    <x v="187"/>
    <x v="156"/>
    <x v="164"/>
    <x v="47"/>
    <x v="148"/>
    <x v="164"/>
    <x v="1"/>
  </r>
  <r>
    <x v="0"/>
    <x v="24"/>
    <x v="24"/>
    <x v="5"/>
    <x v="5"/>
    <x v="5"/>
    <x v="15"/>
    <x v="169"/>
    <x v="146"/>
    <x v="165"/>
    <x v="311"/>
    <x v="90"/>
    <x v="150"/>
    <x v="6"/>
  </r>
  <r>
    <x v="0"/>
    <x v="24"/>
    <x v="24"/>
    <x v="18"/>
    <x v="18"/>
    <x v="18"/>
    <x v="16"/>
    <x v="188"/>
    <x v="147"/>
    <x v="113"/>
    <x v="205"/>
    <x v="149"/>
    <x v="251"/>
    <x v="1"/>
  </r>
  <r>
    <x v="0"/>
    <x v="24"/>
    <x v="24"/>
    <x v="34"/>
    <x v="34"/>
    <x v="34"/>
    <x v="17"/>
    <x v="189"/>
    <x v="228"/>
    <x v="71"/>
    <x v="319"/>
    <x v="150"/>
    <x v="174"/>
    <x v="1"/>
  </r>
  <r>
    <x v="0"/>
    <x v="24"/>
    <x v="24"/>
    <x v="12"/>
    <x v="12"/>
    <x v="12"/>
    <x v="18"/>
    <x v="190"/>
    <x v="65"/>
    <x v="51"/>
    <x v="170"/>
    <x v="151"/>
    <x v="252"/>
    <x v="1"/>
  </r>
  <r>
    <x v="0"/>
    <x v="24"/>
    <x v="24"/>
    <x v="9"/>
    <x v="9"/>
    <x v="9"/>
    <x v="19"/>
    <x v="191"/>
    <x v="67"/>
    <x v="132"/>
    <x v="314"/>
    <x v="132"/>
    <x v="253"/>
    <x v="1"/>
  </r>
  <r>
    <x v="0"/>
    <x v="25"/>
    <x v="25"/>
    <x v="17"/>
    <x v="17"/>
    <x v="17"/>
    <x v="0"/>
    <x v="192"/>
    <x v="203"/>
    <x v="166"/>
    <x v="330"/>
    <x v="135"/>
    <x v="254"/>
    <x v="1"/>
  </r>
  <r>
    <x v="0"/>
    <x v="25"/>
    <x v="25"/>
    <x v="6"/>
    <x v="6"/>
    <x v="6"/>
    <x v="1"/>
    <x v="193"/>
    <x v="188"/>
    <x v="167"/>
    <x v="331"/>
    <x v="152"/>
    <x v="255"/>
    <x v="1"/>
  </r>
  <r>
    <x v="0"/>
    <x v="25"/>
    <x v="25"/>
    <x v="0"/>
    <x v="0"/>
    <x v="0"/>
    <x v="2"/>
    <x v="194"/>
    <x v="141"/>
    <x v="61"/>
    <x v="332"/>
    <x v="153"/>
    <x v="96"/>
    <x v="1"/>
  </r>
  <r>
    <x v="0"/>
    <x v="25"/>
    <x v="25"/>
    <x v="11"/>
    <x v="11"/>
    <x v="11"/>
    <x v="3"/>
    <x v="195"/>
    <x v="229"/>
    <x v="168"/>
    <x v="333"/>
    <x v="53"/>
    <x v="77"/>
    <x v="1"/>
  </r>
  <r>
    <x v="0"/>
    <x v="25"/>
    <x v="25"/>
    <x v="4"/>
    <x v="4"/>
    <x v="4"/>
    <x v="4"/>
    <x v="196"/>
    <x v="169"/>
    <x v="112"/>
    <x v="283"/>
    <x v="154"/>
    <x v="256"/>
    <x v="6"/>
  </r>
  <r>
    <x v="0"/>
    <x v="25"/>
    <x v="25"/>
    <x v="3"/>
    <x v="3"/>
    <x v="3"/>
    <x v="5"/>
    <x v="197"/>
    <x v="230"/>
    <x v="169"/>
    <x v="334"/>
    <x v="155"/>
    <x v="56"/>
    <x v="1"/>
  </r>
  <r>
    <x v="0"/>
    <x v="25"/>
    <x v="25"/>
    <x v="68"/>
    <x v="68"/>
    <x v="68"/>
    <x v="6"/>
    <x v="198"/>
    <x v="231"/>
    <x v="87"/>
    <x v="159"/>
    <x v="156"/>
    <x v="257"/>
    <x v="1"/>
  </r>
  <r>
    <x v="0"/>
    <x v="25"/>
    <x v="25"/>
    <x v="13"/>
    <x v="13"/>
    <x v="13"/>
    <x v="7"/>
    <x v="199"/>
    <x v="153"/>
    <x v="114"/>
    <x v="295"/>
    <x v="157"/>
    <x v="258"/>
    <x v="1"/>
  </r>
  <r>
    <x v="0"/>
    <x v="25"/>
    <x v="25"/>
    <x v="20"/>
    <x v="20"/>
    <x v="20"/>
    <x v="8"/>
    <x v="200"/>
    <x v="6"/>
    <x v="116"/>
    <x v="335"/>
    <x v="158"/>
    <x v="251"/>
    <x v="6"/>
  </r>
  <r>
    <x v="0"/>
    <x v="25"/>
    <x v="25"/>
    <x v="35"/>
    <x v="35"/>
    <x v="35"/>
    <x v="9"/>
    <x v="201"/>
    <x v="232"/>
    <x v="113"/>
    <x v="84"/>
    <x v="159"/>
    <x v="207"/>
    <x v="6"/>
  </r>
  <r>
    <x v="0"/>
    <x v="25"/>
    <x v="25"/>
    <x v="36"/>
    <x v="36"/>
    <x v="36"/>
    <x v="10"/>
    <x v="202"/>
    <x v="115"/>
    <x v="83"/>
    <x v="51"/>
    <x v="160"/>
    <x v="224"/>
    <x v="7"/>
  </r>
  <r>
    <x v="0"/>
    <x v="25"/>
    <x v="25"/>
    <x v="19"/>
    <x v="19"/>
    <x v="19"/>
    <x v="11"/>
    <x v="203"/>
    <x v="206"/>
    <x v="56"/>
    <x v="181"/>
    <x v="161"/>
    <x v="259"/>
    <x v="1"/>
  </r>
  <r>
    <x v="0"/>
    <x v="25"/>
    <x v="25"/>
    <x v="21"/>
    <x v="21"/>
    <x v="21"/>
    <x v="12"/>
    <x v="204"/>
    <x v="184"/>
    <x v="73"/>
    <x v="284"/>
    <x v="162"/>
    <x v="260"/>
    <x v="12"/>
  </r>
  <r>
    <x v="0"/>
    <x v="25"/>
    <x v="25"/>
    <x v="1"/>
    <x v="1"/>
    <x v="1"/>
    <x v="13"/>
    <x v="205"/>
    <x v="48"/>
    <x v="170"/>
    <x v="6"/>
    <x v="112"/>
    <x v="211"/>
    <x v="1"/>
  </r>
  <r>
    <x v="0"/>
    <x v="25"/>
    <x v="25"/>
    <x v="8"/>
    <x v="8"/>
    <x v="8"/>
    <x v="14"/>
    <x v="206"/>
    <x v="166"/>
    <x v="171"/>
    <x v="336"/>
    <x v="163"/>
    <x v="261"/>
    <x v="1"/>
  </r>
  <r>
    <x v="0"/>
    <x v="25"/>
    <x v="25"/>
    <x v="18"/>
    <x v="18"/>
    <x v="18"/>
    <x v="15"/>
    <x v="207"/>
    <x v="233"/>
    <x v="172"/>
    <x v="35"/>
    <x v="164"/>
    <x v="45"/>
    <x v="1"/>
  </r>
  <r>
    <x v="0"/>
    <x v="25"/>
    <x v="25"/>
    <x v="69"/>
    <x v="69"/>
    <x v="69"/>
    <x v="16"/>
    <x v="208"/>
    <x v="234"/>
    <x v="106"/>
    <x v="337"/>
    <x v="165"/>
    <x v="49"/>
    <x v="1"/>
  </r>
  <r>
    <x v="0"/>
    <x v="25"/>
    <x v="25"/>
    <x v="34"/>
    <x v="34"/>
    <x v="34"/>
    <x v="17"/>
    <x v="209"/>
    <x v="64"/>
    <x v="74"/>
    <x v="297"/>
    <x v="166"/>
    <x v="136"/>
    <x v="6"/>
  </r>
  <r>
    <x v="0"/>
    <x v="25"/>
    <x v="25"/>
    <x v="67"/>
    <x v="67"/>
    <x v="67"/>
    <x v="18"/>
    <x v="210"/>
    <x v="213"/>
    <x v="173"/>
    <x v="338"/>
    <x v="43"/>
    <x v="33"/>
    <x v="1"/>
  </r>
  <r>
    <x v="0"/>
    <x v="25"/>
    <x v="25"/>
    <x v="5"/>
    <x v="5"/>
    <x v="5"/>
    <x v="19"/>
    <x v="139"/>
    <x v="32"/>
    <x v="174"/>
    <x v="339"/>
    <x v="62"/>
    <x v="177"/>
    <x v="1"/>
  </r>
  <r>
    <x v="0"/>
    <x v="26"/>
    <x v="26"/>
    <x v="1"/>
    <x v="1"/>
    <x v="1"/>
    <x v="0"/>
    <x v="211"/>
    <x v="56"/>
    <x v="175"/>
    <x v="340"/>
    <x v="135"/>
    <x v="14"/>
    <x v="1"/>
  </r>
  <r>
    <x v="0"/>
    <x v="26"/>
    <x v="26"/>
    <x v="0"/>
    <x v="0"/>
    <x v="0"/>
    <x v="1"/>
    <x v="212"/>
    <x v="197"/>
    <x v="171"/>
    <x v="160"/>
    <x v="167"/>
    <x v="262"/>
    <x v="1"/>
  </r>
  <r>
    <x v="0"/>
    <x v="26"/>
    <x v="26"/>
    <x v="2"/>
    <x v="2"/>
    <x v="2"/>
    <x v="2"/>
    <x v="213"/>
    <x v="94"/>
    <x v="176"/>
    <x v="341"/>
    <x v="112"/>
    <x v="235"/>
    <x v="1"/>
  </r>
  <r>
    <x v="0"/>
    <x v="26"/>
    <x v="26"/>
    <x v="7"/>
    <x v="7"/>
    <x v="7"/>
    <x v="3"/>
    <x v="214"/>
    <x v="22"/>
    <x v="177"/>
    <x v="63"/>
    <x v="108"/>
    <x v="178"/>
    <x v="1"/>
  </r>
  <r>
    <x v="0"/>
    <x v="26"/>
    <x v="26"/>
    <x v="3"/>
    <x v="3"/>
    <x v="3"/>
    <x v="4"/>
    <x v="215"/>
    <x v="235"/>
    <x v="178"/>
    <x v="104"/>
    <x v="49"/>
    <x v="206"/>
    <x v="1"/>
  </r>
  <r>
    <x v="0"/>
    <x v="26"/>
    <x v="26"/>
    <x v="5"/>
    <x v="5"/>
    <x v="5"/>
    <x v="5"/>
    <x v="216"/>
    <x v="236"/>
    <x v="179"/>
    <x v="342"/>
    <x v="97"/>
    <x v="77"/>
    <x v="6"/>
  </r>
  <r>
    <x v="0"/>
    <x v="26"/>
    <x v="26"/>
    <x v="4"/>
    <x v="4"/>
    <x v="4"/>
    <x v="6"/>
    <x v="217"/>
    <x v="23"/>
    <x v="87"/>
    <x v="287"/>
    <x v="168"/>
    <x v="4"/>
    <x v="1"/>
  </r>
  <r>
    <x v="0"/>
    <x v="26"/>
    <x v="26"/>
    <x v="9"/>
    <x v="9"/>
    <x v="9"/>
    <x v="7"/>
    <x v="218"/>
    <x v="206"/>
    <x v="180"/>
    <x v="339"/>
    <x v="169"/>
    <x v="217"/>
    <x v="1"/>
  </r>
  <r>
    <x v="0"/>
    <x v="26"/>
    <x v="26"/>
    <x v="8"/>
    <x v="8"/>
    <x v="8"/>
    <x v="8"/>
    <x v="219"/>
    <x v="107"/>
    <x v="181"/>
    <x v="343"/>
    <x v="83"/>
    <x v="241"/>
    <x v="6"/>
  </r>
  <r>
    <x v="0"/>
    <x v="26"/>
    <x v="26"/>
    <x v="6"/>
    <x v="6"/>
    <x v="6"/>
    <x v="9"/>
    <x v="182"/>
    <x v="63"/>
    <x v="182"/>
    <x v="344"/>
    <x v="105"/>
    <x v="145"/>
    <x v="1"/>
  </r>
  <r>
    <x v="0"/>
    <x v="26"/>
    <x v="26"/>
    <x v="10"/>
    <x v="10"/>
    <x v="10"/>
    <x v="10"/>
    <x v="185"/>
    <x v="234"/>
    <x v="183"/>
    <x v="218"/>
    <x v="131"/>
    <x v="194"/>
    <x v="1"/>
  </r>
  <r>
    <x v="0"/>
    <x v="26"/>
    <x v="26"/>
    <x v="63"/>
    <x v="63"/>
    <x v="63"/>
    <x v="11"/>
    <x v="220"/>
    <x v="156"/>
    <x v="163"/>
    <x v="345"/>
    <x v="170"/>
    <x v="263"/>
    <x v="1"/>
  </r>
  <r>
    <x v="0"/>
    <x v="26"/>
    <x v="26"/>
    <x v="16"/>
    <x v="16"/>
    <x v="16"/>
    <x v="12"/>
    <x v="186"/>
    <x v="146"/>
    <x v="100"/>
    <x v="346"/>
    <x v="171"/>
    <x v="110"/>
    <x v="1"/>
  </r>
  <r>
    <x v="0"/>
    <x v="26"/>
    <x v="26"/>
    <x v="15"/>
    <x v="15"/>
    <x v="15"/>
    <x v="13"/>
    <x v="221"/>
    <x v="10"/>
    <x v="66"/>
    <x v="347"/>
    <x v="172"/>
    <x v="264"/>
    <x v="1"/>
  </r>
  <r>
    <x v="0"/>
    <x v="26"/>
    <x v="26"/>
    <x v="24"/>
    <x v="24"/>
    <x v="24"/>
    <x v="14"/>
    <x v="40"/>
    <x v="30"/>
    <x v="110"/>
    <x v="203"/>
    <x v="173"/>
    <x v="32"/>
    <x v="1"/>
  </r>
  <r>
    <x v="0"/>
    <x v="26"/>
    <x v="26"/>
    <x v="13"/>
    <x v="13"/>
    <x v="13"/>
    <x v="15"/>
    <x v="222"/>
    <x v="99"/>
    <x v="61"/>
    <x v="215"/>
    <x v="120"/>
    <x v="265"/>
    <x v="1"/>
  </r>
  <r>
    <x v="0"/>
    <x v="26"/>
    <x v="26"/>
    <x v="12"/>
    <x v="12"/>
    <x v="12"/>
    <x v="16"/>
    <x v="223"/>
    <x v="99"/>
    <x v="71"/>
    <x v="348"/>
    <x v="142"/>
    <x v="266"/>
    <x v="6"/>
  </r>
  <r>
    <x v="0"/>
    <x v="26"/>
    <x v="26"/>
    <x v="11"/>
    <x v="11"/>
    <x v="11"/>
    <x v="17"/>
    <x v="224"/>
    <x v="33"/>
    <x v="184"/>
    <x v="85"/>
    <x v="74"/>
    <x v="17"/>
    <x v="1"/>
  </r>
  <r>
    <x v="0"/>
    <x v="26"/>
    <x v="26"/>
    <x v="38"/>
    <x v="38"/>
    <x v="38"/>
    <x v="18"/>
    <x v="225"/>
    <x v="51"/>
    <x v="185"/>
    <x v="126"/>
    <x v="7"/>
    <x v="13"/>
    <x v="1"/>
  </r>
  <r>
    <x v="0"/>
    <x v="26"/>
    <x v="26"/>
    <x v="45"/>
    <x v="45"/>
    <x v="45"/>
    <x v="19"/>
    <x v="226"/>
    <x v="14"/>
    <x v="186"/>
    <x v="349"/>
    <x v="96"/>
    <x v="267"/>
    <x v="1"/>
  </r>
  <r>
    <x v="0"/>
    <x v="27"/>
    <x v="27"/>
    <x v="1"/>
    <x v="1"/>
    <x v="1"/>
    <x v="0"/>
    <x v="227"/>
    <x v="237"/>
    <x v="123"/>
    <x v="162"/>
    <x v="76"/>
    <x v="141"/>
    <x v="1"/>
  </r>
  <r>
    <x v="0"/>
    <x v="27"/>
    <x v="27"/>
    <x v="2"/>
    <x v="2"/>
    <x v="2"/>
    <x v="1"/>
    <x v="228"/>
    <x v="103"/>
    <x v="187"/>
    <x v="350"/>
    <x v="76"/>
    <x v="141"/>
    <x v="1"/>
  </r>
  <r>
    <x v="0"/>
    <x v="27"/>
    <x v="27"/>
    <x v="6"/>
    <x v="6"/>
    <x v="6"/>
    <x v="2"/>
    <x v="229"/>
    <x v="169"/>
    <x v="130"/>
    <x v="351"/>
    <x v="76"/>
    <x v="141"/>
    <x v="1"/>
  </r>
  <r>
    <x v="0"/>
    <x v="27"/>
    <x v="27"/>
    <x v="0"/>
    <x v="0"/>
    <x v="0"/>
    <x v="3"/>
    <x v="88"/>
    <x v="238"/>
    <x v="80"/>
    <x v="352"/>
    <x v="174"/>
    <x v="268"/>
    <x v="1"/>
  </r>
  <r>
    <x v="0"/>
    <x v="27"/>
    <x v="27"/>
    <x v="3"/>
    <x v="3"/>
    <x v="3"/>
    <x v="4"/>
    <x v="61"/>
    <x v="113"/>
    <x v="88"/>
    <x v="353"/>
    <x v="54"/>
    <x v="171"/>
    <x v="1"/>
  </r>
  <r>
    <x v="0"/>
    <x v="27"/>
    <x v="27"/>
    <x v="5"/>
    <x v="5"/>
    <x v="5"/>
    <x v="5"/>
    <x v="125"/>
    <x v="239"/>
    <x v="188"/>
    <x v="354"/>
    <x v="46"/>
    <x v="89"/>
    <x v="6"/>
  </r>
  <r>
    <x v="0"/>
    <x v="27"/>
    <x v="27"/>
    <x v="8"/>
    <x v="8"/>
    <x v="8"/>
    <x v="6"/>
    <x v="129"/>
    <x v="204"/>
    <x v="109"/>
    <x v="190"/>
    <x v="53"/>
    <x v="269"/>
    <x v="6"/>
  </r>
  <r>
    <x v="0"/>
    <x v="27"/>
    <x v="27"/>
    <x v="7"/>
    <x v="7"/>
    <x v="7"/>
    <x v="7"/>
    <x v="230"/>
    <x v="22"/>
    <x v="89"/>
    <x v="355"/>
    <x v="67"/>
    <x v="77"/>
    <x v="1"/>
  </r>
  <r>
    <x v="0"/>
    <x v="27"/>
    <x v="27"/>
    <x v="11"/>
    <x v="11"/>
    <x v="11"/>
    <x v="8"/>
    <x v="231"/>
    <x v="143"/>
    <x v="33"/>
    <x v="59"/>
    <x v="72"/>
    <x v="88"/>
    <x v="1"/>
  </r>
  <r>
    <x v="0"/>
    <x v="27"/>
    <x v="27"/>
    <x v="9"/>
    <x v="9"/>
    <x v="9"/>
    <x v="9"/>
    <x v="232"/>
    <x v="127"/>
    <x v="45"/>
    <x v="356"/>
    <x v="55"/>
    <x v="270"/>
    <x v="1"/>
  </r>
  <r>
    <x v="0"/>
    <x v="27"/>
    <x v="27"/>
    <x v="13"/>
    <x v="13"/>
    <x v="13"/>
    <x v="10"/>
    <x v="100"/>
    <x v="200"/>
    <x v="64"/>
    <x v="174"/>
    <x v="135"/>
    <x v="12"/>
    <x v="1"/>
  </r>
  <r>
    <x v="0"/>
    <x v="27"/>
    <x v="27"/>
    <x v="4"/>
    <x v="4"/>
    <x v="4"/>
    <x v="11"/>
    <x v="126"/>
    <x v="29"/>
    <x v="68"/>
    <x v="185"/>
    <x v="112"/>
    <x v="208"/>
    <x v="1"/>
  </r>
  <r>
    <x v="0"/>
    <x v="27"/>
    <x v="27"/>
    <x v="14"/>
    <x v="14"/>
    <x v="14"/>
    <x v="12"/>
    <x v="102"/>
    <x v="135"/>
    <x v="128"/>
    <x v="357"/>
    <x v="50"/>
    <x v="28"/>
    <x v="1"/>
  </r>
  <r>
    <x v="0"/>
    <x v="27"/>
    <x v="27"/>
    <x v="15"/>
    <x v="15"/>
    <x v="15"/>
    <x v="13"/>
    <x v="49"/>
    <x v="67"/>
    <x v="86"/>
    <x v="295"/>
    <x v="92"/>
    <x v="49"/>
    <x v="1"/>
  </r>
  <r>
    <x v="0"/>
    <x v="27"/>
    <x v="27"/>
    <x v="70"/>
    <x v="70"/>
    <x v="70"/>
    <x v="14"/>
    <x v="119"/>
    <x v="15"/>
    <x v="70"/>
    <x v="285"/>
    <x v="63"/>
    <x v="61"/>
    <x v="1"/>
  </r>
  <r>
    <x v="0"/>
    <x v="27"/>
    <x v="27"/>
    <x v="10"/>
    <x v="10"/>
    <x v="10"/>
    <x v="15"/>
    <x v="50"/>
    <x v="17"/>
    <x v="81"/>
    <x v="289"/>
    <x v="49"/>
    <x v="271"/>
    <x v="1"/>
  </r>
  <r>
    <x v="0"/>
    <x v="27"/>
    <x v="27"/>
    <x v="29"/>
    <x v="29"/>
    <x v="29"/>
    <x v="16"/>
    <x v="124"/>
    <x v="68"/>
    <x v="99"/>
    <x v="358"/>
    <x v="46"/>
    <x v="89"/>
    <x v="1"/>
  </r>
  <r>
    <x v="0"/>
    <x v="27"/>
    <x v="27"/>
    <x v="16"/>
    <x v="16"/>
    <x v="16"/>
    <x v="17"/>
    <x v="133"/>
    <x v="128"/>
    <x v="68"/>
    <x v="185"/>
    <x v="92"/>
    <x v="49"/>
    <x v="1"/>
  </r>
  <r>
    <x v="0"/>
    <x v="27"/>
    <x v="27"/>
    <x v="24"/>
    <x v="24"/>
    <x v="24"/>
    <x v="17"/>
    <x v="133"/>
    <x v="128"/>
    <x v="59"/>
    <x v="170"/>
    <x v="106"/>
    <x v="185"/>
    <x v="1"/>
  </r>
  <r>
    <x v="0"/>
    <x v="27"/>
    <x v="27"/>
    <x v="18"/>
    <x v="18"/>
    <x v="18"/>
    <x v="17"/>
    <x v="133"/>
    <x v="128"/>
    <x v="96"/>
    <x v="257"/>
    <x v="55"/>
    <x v="270"/>
    <x v="1"/>
  </r>
  <r>
    <x v="0"/>
    <x v="28"/>
    <x v="28"/>
    <x v="1"/>
    <x v="1"/>
    <x v="1"/>
    <x v="0"/>
    <x v="41"/>
    <x v="240"/>
    <x v="134"/>
    <x v="359"/>
    <x v="56"/>
    <x v="272"/>
    <x v="1"/>
  </r>
  <r>
    <x v="0"/>
    <x v="28"/>
    <x v="28"/>
    <x v="2"/>
    <x v="2"/>
    <x v="2"/>
    <x v="1"/>
    <x v="99"/>
    <x v="123"/>
    <x v="189"/>
    <x v="42"/>
    <x v="69"/>
    <x v="95"/>
    <x v="1"/>
  </r>
  <r>
    <x v="0"/>
    <x v="28"/>
    <x v="28"/>
    <x v="0"/>
    <x v="0"/>
    <x v="0"/>
    <x v="2"/>
    <x v="63"/>
    <x v="241"/>
    <x v="64"/>
    <x v="360"/>
    <x v="98"/>
    <x v="273"/>
    <x v="1"/>
  </r>
  <r>
    <x v="0"/>
    <x v="28"/>
    <x v="28"/>
    <x v="7"/>
    <x v="7"/>
    <x v="7"/>
    <x v="3"/>
    <x v="157"/>
    <x v="113"/>
    <x v="43"/>
    <x v="207"/>
    <x v="56"/>
    <x v="272"/>
    <x v="1"/>
  </r>
  <r>
    <x v="0"/>
    <x v="28"/>
    <x v="28"/>
    <x v="5"/>
    <x v="5"/>
    <x v="5"/>
    <x v="4"/>
    <x v="117"/>
    <x v="43"/>
    <x v="133"/>
    <x v="361"/>
    <x v="56"/>
    <x v="272"/>
    <x v="1"/>
  </r>
  <r>
    <x v="0"/>
    <x v="28"/>
    <x v="28"/>
    <x v="3"/>
    <x v="3"/>
    <x v="3"/>
    <x v="5"/>
    <x v="118"/>
    <x v="231"/>
    <x v="106"/>
    <x v="91"/>
    <x v="46"/>
    <x v="145"/>
    <x v="1"/>
  </r>
  <r>
    <x v="0"/>
    <x v="28"/>
    <x v="28"/>
    <x v="63"/>
    <x v="63"/>
    <x v="63"/>
    <x v="6"/>
    <x v="47"/>
    <x v="153"/>
    <x v="185"/>
    <x v="268"/>
    <x v="58"/>
    <x v="274"/>
    <x v="1"/>
  </r>
  <r>
    <x v="0"/>
    <x v="28"/>
    <x v="28"/>
    <x v="4"/>
    <x v="4"/>
    <x v="4"/>
    <x v="7"/>
    <x v="123"/>
    <x v="105"/>
    <x v="68"/>
    <x v="362"/>
    <x v="175"/>
    <x v="275"/>
    <x v="1"/>
  </r>
  <r>
    <x v="0"/>
    <x v="28"/>
    <x v="28"/>
    <x v="16"/>
    <x v="16"/>
    <x v="16"/>
    <x v="8"/>
    <x v="133"/>
    <x v="45"/>
    <x v="55"/>
    <x v="172"/>
    <x v="77"/>
    <x v="276"/>
    <x v="1"/>
  </r>
  <r>
    <x v="0"/>
    <x v="28"/>
    <x v="28"/>
    <x v="15"/>
    <x v="15"/>
    <x v="15"/>
    <x v="8"/>
    <x v="133"/>
    <x v="45"/>
    <x v="86"/>
    <x v="55"/>
    <x v="65"/>
    <x v="277"/>
    <x v="1"/>
  </r>
  <r>
    <x v="0"/>
    <x v="28"/>
    <x v="28"/>
    <x v="45"/>
    <x v="45"/>
    <x v="45"/>
    <x v="8"/>
    <x v="133"/>
    <x v="45"/>
    <x v="104"/>
    <x v="363"/>
    <x v="41"/>
    <x v="115"/>
    <x v="1"/>
  </r>
  <r>
    <x v="0"/>
    <x v="28"/>
    <x v="28"/>
    <x v="10"/>
    <x v="10"/>
    <x v="10"/>
    <x v="11"/>
    <x v="134"/>
    <x v="242"/>
    <x v="58"/>
    <x v="29"/>
    <x v="48"/>
    <x v="278"/>
    <x v="1"/>
  </r>
  <r>
    <x v="0"/>
    <x v="28"/>
    <x v="28"/>
    <x v="24"/>
    <x v="24"/>
    <x v="24"/>
    <x v="12"/>
    <x v="51"/>
    <x v="88"/>
    <x v="74"/>
    <x v="364"/>
    <x v="105"/>
    <x v="85"/>
    <x v="1"/>
  </r>
  <r>
    <x v="0"/>
    <x v="28"/>
    <x v="28"/>
    <x v="38"/>
    <x v="38"/>
    <x v="38"/>
    <x v="13"/>
    <x v="52"/>
    <x v="9"/>
    <x v="59"/>
    <x v="203"/>
    <x v="65"/>
    <x v="277"/>
    <x v="1"/>
  </r>
  <r>
    <x v="0"/>
    <x v="28"/>
    <x v="28"/>
    <x v="9"/>
    <x v="9"/>
    <x v="9"/>
    <x v="14"/>
    <x v="55"/>
    <x v="155"/>
    <x v="102"/>
    <x v="365"/>
    <x v="72"/>
    <x v="164"/>
    <x v="1"/>
  </r>
  <r>
    <x v="0"/>
    <x v="28"/>
    <x v="28"/>
    <x v="59"/>
    <x v="59"/>
    <x v="59"/>
    <x v="15"/>
    <x v="56"/>
    <x v="243"/>
    <x v="71"/>
    <x v="140"/>
    <x v="53"/>
    <x v="154"/>
    <x v="1"/>
  </r>
  <r>
    <x v="0"/>
    <x v="28"/>
    <x v="28"/>
    <x v="8"/>
    <x v="8"/>
    <x v="8"/>
    <x v="15"/>
    <x v="56"/>
    <x v="243"/>
    <x v="102"/>
    <x v="365"/>
    <x v="67"/>
    <x v="109"/>
    <x v="1"/>
  </r>
  <r>
    <x v="0"/>
    <x v="28"/>
    <x v="28"/>
    <x v="60"/>
    <x v="60"/>
    <x v="60"/>
    <x v="17"/>
    <x v="57"/>
    <x v="244"/>
    <x v="100"/>
    <x v="366"/>
    <x v="73"/>
    <x v="72"/>
    <x v="1"/>
  </r>
  <r>
    <x v="0"/>
    <x v="28"/>
    <x v="28"/>
    <x v="42"/>
    <x v="42"/>
    <x v="42"/>
    <x v="18"/>
    <x v="67"/>
    <x v="228"/>
    <x v="55"/>
    <x v="172"/>
    <x v="70"/>
    <x v="159"/>
    <x v="1"/>
  </r>
  <r>
    <x v="0"/>
    <x v="28"/>
    <x v="28"/>
    <x v="13"/>
    <x v="13"/>
    <x v="13"/>
    <x v="19"/>
    <x v="58"/>
    <x v="245"/>
    <x v="74"/>
    <x v="364"/>
    <x v="42"/>
    <x v="105"/>
    <x v="1"/>
  </r>
  <r>
    <x v="0"/>
    <x v="29"/>
    <x v="29"/>
    <x v="1"/>
    <x v="1"/>
    <x v="1"/>
    <x v="0"/>
    <x v="146"/>
    <x v="246"/>
    <x v="162"/>
    <x v="367"/>
    <x v="72"/>
    <x v="73"/>
    <x v="1"/>
  </r>
  <r>
    <x v="0"/>
    <x v="29"/>
    <x v="29"/>
    <x v="2"/>
    <x v="2"/>
    <x v="2"/>
    <x v="1"/>
    <x v="157"/>
    <x v="247"/>
    <x v="133"/>
    <x v="368"/>
    <x v="61"/>
    <x v="279"/>
    <x v="1"/>
  </r>
  <r>
    <x v="0"/>
    <x v="29"/>
    <x v="29"/>
    <x v="0"/>
    <x v="0"/>
    <x v="0"/>
    <x v="2"/>
    <x v="117"/>
    <x v="248"/>
    <x v="51"/>
    <x v="369"/>
    <x v="101"/>
    <x v="280"/>
    <x v="1"/>
  </r>
  <r>
    <x v="0"/>
    <x v="29"/>
    <x v="29"/>
    <x v="7"/>
    <x v="7"/>
    <x v="7"/>
    <x v="3"/>
    <x v="47"/>
    <x v="249"/>
    <x v="87"/>
    <x v="370"/>
    <x v="73"/>
    <x v="72"/>
    <x v="1"/>
  </r>
  <r>
    <x v="0"/>
    <x v="29"/>
    <x v="29"/>
    <x v="10"/>
    <x v="10"/>
    <x v="10"/>
    <x v="4"/>
    <x v="133"/>
    <x v="227"/>
    <x v="110"/>
    <x v="371"/>
    <x v="61"/>
    <x v="279"/>
    <x v="1"/>
  </r>
  <r>
    <x v="0"/>
    <x v="29"/>
    <x v="29"/>
    <x v="3"/>
    <x v="3"/>
    <x v="3"/>
    <x v="5"/>
    <x v="53"/>
    <x v="112"/>
    <x v="49"/>
    <x v="372"/>
    <x v="73"/>
    <x v="72"/>
    <x v="1"/>
  </r>
  <r>
    <x v="0"/>
    <x v="29"/>
    <x v="29"/>
    <x v="5"/>
    <x v="5"/>
    <x v="5"/>
    <x v="6"/>
    <x v="67"/>
    <x v="59"/>
    <x v="58"/>
    <x v="45"/>
    <x v="66"/>
    <x v="11"/>
    <x v="1"/>
  </r>
  <r>
    <x v="0"/>
    <x v="29"/>
    <x v="29"/>
    <x v="9"/>
    <x v="9"/>
    <x v="9"/>
    <x v="6"/>
    <x v="67"/>
    <x v="59"/>
    <x v="185"/>
    <x v="373"/>
    <x v="63"/>
    <x v="163"/>
    <x v="1"/>
  </r>
  <r>
    <x v="0"/>
    <x v="29"/>
    <x v="29"/>
    <x v="8"/>
    <x v="8"/>
    <x v="8"/>
    <x v="8"/>
    <x v="71"/>
    <x v="60"/>
    <x v="73"/>
    <x v="374"/>
    <x v="61"/>
    <x v="279"/>
    <x v="1"/>
  </r>
  <r>
    <x v="0"/>
    <x v="29"/>
    <x v="29"/>
    <x v="44"/>
    <x v="44"/>
    <x v="44"/>
    <x v="9"/>
    <x v="72"/>
    <x v="207"/>
    <x v="97"/>
    <x v="230"/>
    <x v="61"/>
    <x v="279"/>
    <x v="1"/>
  </r>
  <r>
    <x v="0"/>
    <x v="29"/>
    <x v="29"/>
    <x v="4"/>
    <x v="4"/>
    <x v="4"/>
    <x v="10"/>
    <x v="108"/>
    <x v="48"/>
    <x v="75"/>
    <x v="346"/>
    <x v="59"/>
    <x v="281"/>
    <x v="1"/>
  </r>
  <r>
    <x v="0"/>
    <x v="29"/>
    <x v="29"/>
    <x v="13"/>
    <x v="13"/>
    <x v="13"/>
    <x v="11"/>
    <x v="233"/>
    <x v="79"/>
    <x v="68"/>
    <x v="140"/>
    <x v="75"/>
    <x v="277"/>
    <x v="1"/>
  </r>
  <r>
    <x v="0"/>
    <x v="29"/>
    <x v="29"/>
    <x v="15"/>
    <x v="15"/>
    <x v="15"/>
    <x v="12"/>
    <x v="76"/>
    <x v="91"/>
    <x v="55"/>
    <x v="375"/>
    <x v="108"/>
    <x v="144"/>
    <x v="1"/>
  </r>
  <r>
    <x v="0"/>
    <x v="29"/>
    <x v="29"/>
    <x v="23"/>
    <x v="23"/>
    <x v="23"/>
    <x v="12"/>
    <x v="76"/>
    <x v="91"/>
    <x v="74"/>
    <x v="321"/>
    <x v="48"/>
    <x v="282"/>
    <x v="1"/>
  </r>
  <r>
    <x v="0"/>
    <x v="29"/>
    <x v="29"/>
    <x v="11"/>
    <x v="11"/>
    <x v="11"/>
    <x v="12"/>
    <x v="76"/>
    <x v="91"/>
    <x v="81"/>
    <x v="157"/>
    <x v="73"/>
    <x v="72"/>
    <x v="1"/>
  </r>
  <r>
    <x v="0"/>
    <x v="29"/>
    <x v="29"/>
    <x v="47"/>
    <x v="47"/>
    <x v="47"/>
    <x v="15"/>
    <x v="234"/>
    <x v="64"/>
    <x v="107"/>
    <x v="307"/>
    <x v="44"/>
    <x v="283"/>
    <x v="1"/>
  </r>
  <r>
    <x v="0"/>
    <x v="29"/>
    <x v="29"/>
    <x v="38"/>
    <x v="38"/>
    <x v="38"/>
    <x v="16"/>
    <x v="235"/>
    <x v="109"/>
    <x v="53"/>
    <x v="76"/>
    <x v="43"/>
    <x v="284"/>
    <x v="1"/>
  </r>
  <r>
    <x v="0"/>
    <x v="29"/>
    <x v="29"/>
    <x v="6"/>
    <x v="6"/>
    <x v="6"/>
    <x v="16"/>
    <x v="235"/>
    <x v="109"/>
    <x v="51"/>
    <x v="369"/>
    <x v="66"/>
    <x v="11"/>
    <x v="1"/>
  </r>
  <r>
    <x v="0"/>
    <x v="29"/>
    <x v="29"/>
    <x v="58"/>
    <x v="58"/>
    <x v="58"/>
    <x v="16"/>
    <x v="235"/>
    <x v="109"/>
    <x v="51"/>
    <x v="369"/>
    <x v="66"/>
    <x v="11"/>
    <x v="1"/>
  </r>
  <r>
    <x v="0"/>
    <x v="29"/>
    <x v="29"/>
    <x v="16"/>
    <x v="16"/>
    <x v="16"/>
    <x v="19"/>
    <x v="78"/>
    <x v="250"/>
    <x v="75"/>
    <x v="346"/>
    <x v="48"/>
    <x v="282"/>
    <x v="1"/>
  </r>
  <r>
    <x v="0"/>
    <x v="29"/>
    <x v="29"/>
    <x v="18"/>
    <x v="18"/>
    <x v="18"/>
    <x v="19"/>
    <x v="78"/>
    <x v="250"/>
    <x v="57"/>
    <x v="376"/>
    <x v="63"/>
    <x v="163"/>
    <x v="1"/>
  </r>
  <r>
    <x v="0"/>
    <x v="29"/>
    <x v="29"/>
    <x v="71"/>
    <x v="71"/>
    <x v="71"/>
    <x v="19"/>
    <x v="78"/>
    <x v="250"/>
    <x v="74"/>
    <x v="321"/>
    <x v="72"/>
    <x v="73"/>
    <x v="1"/>
  </r>
  <r>
    <x v="0"/>
    <x v="30"/>
    <x v="30"/>
    <x v="1"/>
    <x v="1"/>
    <x v="1"/>
    <x v="0"/>
    <x v="141"/>
    <x v="251"/>
    <x v="137"/>
    <x v="377"/>
    <x v="61"/>
    <x v="285"/>
    <x v="1"/>
  </r>
  <r>
    <x v="0"/>
    <x v="30"/>
    <x v="30"/>
    <x v="0"/>
    <x v="0"/>
    <x v="0"/>
    <x v="1"/>
    <x v="111"/>
    <x v="252"/>
    <x v="104"/>
    <x v="249"/>
    <x v="94"/>
    <x v="286"/>
    <x v="1"/>
  </r>
  <r>
    <x v="0"/>
    <x v="30"/>
    <x v="30"/>
    <x v="2"/>
    <x v="2"/>
    <x v="2"/>
    <x v="2"/>
    <x v="143"/>
    <x v="83"/>
    <x v="45"/>
    <x v="378"/>
    <x v="108"/>
    <x v="202"/>
    <x v="1"/>
  </r>
  <r>
    <x v="0"/>
    <x v="30"/>
    <x v="30"/>
    <x v="3"/>
    <x v="3"/>
    <x v="3"/>
    <x v="3"/>
    <x v="137"/>
    <x v="112"/>
    <x v="45"/>
    <x v="378"/>
    <x v="63"/>
    <x v="107"/>
    <x v="1"/>
  </r>
  <r>
    <x v="0"/>
    <x v="30"/>
    <x v="30"/>
    <x v="7"/>
    <x v="7"/>
    <x v="7"/>
    <x v="4"/>
    <x v="62"/>
    <x v="253"/>
    <x v="129"/>
    <x v="379"/>
    <x v="66"/>
    <x v="236"/>
    <x v="1"/>
  </r>
  <r>
    <x v="0"/>
    <x v="30"/>
    <x v="30"/>
    <x v="5"/>
    <x v="5"/>
    <x v="5"/>
    <x v="5"/>
    <x v="117"/>
    <x v="114"/>
    <x v="87"/>
    <x v="5"/>
    <x v="44"/>
    <x v="89"/>
    <x v="1"/>
  </r>
  <r>
    <x v="0"/>
    <x v="30"/>
    <x v="30"/>
    <x v="63"/>
    <x v="63"/>
    <x v="63"/>
    <x v="6"/>
    <x v="47"/>
    <x v="75"/>
    <x v="102"/>
    <x v="268"/>
    <x v="42"/>
    <x v="167"/>
    <x v="1"/>
  </r>
  <r>
    <x v="0"/>
    <x v="30"/>
    <x v="30"/>
    <x v="9"/>
    <x v="9"/>
    <x v="9"/>
    <x v="7"/>
    <x v="145"/>
    <x v="127"/>
    <x v="120"/>
    <x v="81"/>
    <x v="48"/>
    <x v="162"/>
    <x v="1"/>
  </r>
  <r>
    <x v="0"/>
    <x v="30"/>
    <x v="30"/>
    <x v="8"/>
    <x v="8"/>
    <x v="8"/>
    <x v="8"/>
    <x v="123"/>
    <x v="183"/>
    <x v="76"/>
    <x v="282"/>
    <x v="108"/>
    <x v="202"/>
    <x v="1"/>
  </r>
  <r>
    <x v="0"/>
    <x v="30"/>
    <x v="30"/>
    <x v="15"/>
    <x v="15"/>
    <x v="15"/>
    <x v="9"/>
    <x v="69"/>
    <x v="77"/>
    <x v="59"/>
    <x v="30"/>
    <x v="77"/>
    <x v="287"/>
    <x v="1"/>
  </r>
  <r>
    <x v="0"/>
    <x v="30"/>
    <x v="30"/>
    <x v="16"/>
    <x v="16"/>
    <x v="16"/>
    <x v="10"/>
    <x v="51"/>
    <x v="165"/>
    <x v="60"/>
    <x v="136"/>
    <x v="119"/>
    <x v="243"/>
    <x v="1"/>
  </r>
  <r>
    <x v="0"/>
    <x v="30"/>
    <x v="30"/>
    <x v="24"/>
    <x v="24"/>
    <x v="24"/>
    <x v="10"/>
    <x v="51"/>
    <x v="165"/>
    <x v="53"/>
    <x v="37"/>
    <x v="106"/>
    <x v="288"/>
    <x v="1"/>
  </r>
  <r>
    <x v="0"/>
    <x v="30"/>
    <x v="30"/>
    <x v="4"/>
    <x v="4"/>
    <x v="4"/>
    <x v="10"/>
    <x v="51"/>
    <x v="165"/>
    <x v="71"/>
    <x v="13"/>
    <x v="89"/>
    <x v="250"/>
    <x v="1"/>
  </r>
  <r>
    <x v="0"/>
    <x v="30"/>
    <x v="30"/>
    <x v="6"/>
    <x v="6"/>
    <x v="6"/>
    <x v="10"/>
    <x v="51"/>
    <x v="165"/>
    <x v="76"/>
    <x v="282"/>
    <x v="67"/>
    <x v="289"/>
    <x v="1"/>
  </r>
  <r>
    <x v="0"/>
    <x v="30"/>
    <x v="30"/>
    <x v="10"/>
    <x v="10"/>
    <x v="10"/>
    <x v="14"/>
    <x v="54"/>
    <x v="10"/>
    <x v="96"/>
    <x v="214"/>
    <x v="75"/>
    <x v="290"/>
    <x v="1"/>
  </r>
  <r>
    <x v="0"/>
    <x v="30"/>
    <x v="30"/>
    <x v="59"/>
    <x v="59"/>
    <x v="59"/>
    <x v="15"/>
    <x v="71"/>
    <x v="34"/>
    <x v="59"/>
    <x v="30"/>
    <x v="58"/>
    <x v="49"/>
    <x v="1"/>
  </r>
  <r>
    <x v="0"/>
    <x v="30"/>
    <x v="30"/>
    <x v="14"/>
    <x v="14"/>
    <x v="14"/>
    <x v="15"/>
    <x v="71"/>
    <x v="34"/>
    <x v="52"/>
    <x v="380"/>
    <x v="48"/>
    <x v="162"/>
    <x v="1"/>
  </r>
  <r>
    <x v="0"/>
    <x v="30"/>
    <x v="30"/>
    <x v="13"/>
    <x v="13"/>
    <x v="13"/>
    <x v="15"/>
    <x v="71"/>
    <x v="34"/>
    <x v="74"/>
    <x v="381"/>
    <x v="97"/>
    <x v="94"/>
    <x v="1"/>
  </r>
  <r>
    <x v="0"/>
    <x v="30"/>
    <x v="30"/>
    <x v="44"/>
    <x v="44"/>
    <x v="44"/>
    <x v="18"/>
    <x v="103"/>
    <x v="15"/>
    <x v="51"/>
    <x v="382"/>
    <x v="43"/>
    <x v="253"/>
    <x v="1"/>
  </r>
  <r>
    <x v="0"/>
    <x v="30"/>
    <x v="30"/>
    <x v="18"/>
    <x v="18"/>
    <x v="18"/>
    <x v="19"/>
    <x v="107"/>
    <x v="250"/>
    <x v="52"/>
    <x v="380"/>
    <x v="74"/>
    <x v="56"/>
    <x v="1"/>
  </r>
  <r>
    <x v="0"/>
    <x v="30"/>
    <x v="30"/>
    <x v="45"/>
    <x v="45"/>
    <x v="45"/>
    <x v="19"/>
    <x v="107"/>
    <x v="250"/>
    <x v="51"/>
    <x v="382"/>
    <x v="108"/>
    <x v="202"/>
    <x v="1"/>
  </r>
  <r>
    <x v="0"/>
    <x v="31"/>
    <x v="31"/>
    <x v="1"/>
    <x v="1"/>
    <x v="1"/>
    <x v="0"/>
    <x v="119"/>
    <x v="141"/>
    <x v="99"/>
    <x v="278"/>
    <x v="72"/>
    <x v="222"/>
    <x v="1"/>
  </r>
  <r>
    <x v="0"/>
    <x v="31"/>
    <x v="31"/>
    <x v="2"/>
    <x v="2"/>
    <x v="2"/>
    <x v="1"/>
    <x v="134"/>
    <x v="95"/>
    <x v="99"/>
    <x v="278"/>
    <x v="44"/>
    <x v="291"/>
    <x v="1"/>
  </r>
  <r>
    <x v="0"/>
    <x v="31"/>
    <x v="31"/>
    <x v="4"/>
    <x v="4"/>
    <x v="4"/>
    <x v="2"/>
    <x v="52"/>
    <x v="254"/>
    <x v="82"/>
    <x v="383"/>
    <x v="176"/>
    <x v="292"/>
    <x v="1"/>
  </r>
  <r>
    <x v="0"/>
    <x v="31"/>
    <x v="31"/>
    <x v="0"/>
    <x v="0"/>
    <x v="0"/>
    <x v="3"/>
    <x v="54"/>
    <x v="174"/>
    <x v="111"/>
    <x v="158"/>
    <x v="176"/>
    <x v="292"/>
    <x v="1"/>
  </r>
  <r>
    <x v="0"/>
    <x v="31"/>
    <x v="31"/>
    <x v="38"/>
    <x v="38"/>
    <x v="38"/>
    <x v="4"/>
    <x v="55"/>
    <x v="255"/>
    <x v="55"/>
    <x v="352"/>
    <x v="53"/>
    <x v="293"/>
    <x v="1"/>
  </r>
  <r>
    <x v="0"/>
    <x v="31"/>
    <x v="31"/>
    <x v="63"/>
    <x v="63"/>
    <x v="63"/>
    <x v="5"/>
    <x v="67"/>
    <x v="104"/>
    <x v="56"/>
    <x v="303"/>
    <x v="61"/>
    <x v="40"/>
    <x v="1"/>
  </r>
  <r>
    <x v="0"/>
    <x v="31"/>
    <x v="31"/>
    <x v="45"/>
    <x v="45"/>
    <x v="45"/>
    <x v="5"/>
    <x v="67"/>
    <x v="104"/>
    <x v="58"/>
    <x v="384"/>
    <x v="66"/>
    <x v="17"/>
    <x v="1"/>
  </r>
  <r>
    <x v="0"/>
    <x v="31"/>
    <x v="31"/>
    <x v="59"/>
    <x v="59"/>
    <x v="59"/>
    <x v="7"/>
    <x v="71"/>
    <x v="106"/>
    <x v="68"/>
    <x v="385"/>
    <x v="70"/>
    <x v="238"/>
    <x v="1"/>
  </r>
  <r>
    <x v="0"/>
    <x v="31"/>
    <x v="31"/>
    <x v="24"/>
    <x v="24"/>
    <x v="24"/>
    <x v="7"/>
    <x v="71"/>
    <x v="106"/>
    <x v="68"/>
    <x v="385"/>
    <x v="70"/>
    <x v="238"/>
    <x v="1"/>
  </r>
  <r>
    <x v="0"/>
    <x v="31"/>
    <x v="31"/>
    <x v="60"/>
    <x v="60"/>
    <x v="60"/>
    <x v="9"/>
    <x v="68"/>
    <x v="183"/>
    <x v="185"/>
    <x v="386"/>
    <x v="73"/>
    <x v="72"/>
    <x v="1"/>
  </r>
  <r>
    <x v="0"/>
    <x v="31"/>
    <x v="31"/>
    <x v="9"/>
    <x v="9"/>
    <x v="9"/>
    <x v="10"/>
    <x v="107"/>
    <x v="256"/>
    <x v="81"/>
    <x v="387"/>
    <x v="61"/>
    <x v="40"/>
    <x v="1"/>
  </r>
  <r>
    <x v="0"/>
    <x v="31"/>
    <x v="31"/>
    <x v="7"/>
    <x v="7"/>
    <x v="7"/>
    <x v="11"/>
    <x v="72"/>
    <x v="257"/>
    <x v="80"/>
    <x v="388"/>
    <x v="66"/>
    <x v="17"/>
    <x v="1"/>
  </r>
  <r>
    <x v="0"/>
    <x v="31"/>
    <x v="31"/>
    <x v="18"/>
    <x v="18"/>
    <x v="18"/>
    <x v="12"/>
    <x v="73"/>
    <x v="166"/>
    <x v="60"/>
    <x v="389"/>
    <x v="76"/>
    <x v="215"/>
    <x v="1"/>
  </r>
  <r>
    <x v="0"/>
    <x v="31"/>
    <x v="31"/>
    <x v="8"/>
    <x v="8"/>
    <x v="8"/>
    <x v="13"/>
    <x v="74"/>
    <x v="243"/>
    <x v="60"/>
    <x v="389"/>
    <x v="64"/>
    <x v="139"/>
    <x v="1"/>
  </r>
  <r>
    <x v="0"/>
    <x v="31"/>
    <x v="31"/>
    <x v="5"/>
    <x v="5"/>
    <x v="5"/>
    <x v="14"/>
    <x v="108"/>
    <x v="147"/>
    <x v="107"/>
    <x v="329"/>
    <x v="72"/>
    <x v="222"/>
    <x v="1"/>
  </r>
  <r>
    <x v="0"/>
    <x v="31"/>
    <x v="31"/>
    <x v="3"/>
    <x v="3"/>
    <x v="3"/>
    <x v="15"/>
    <x v="76"/>
    <x v="50"/>
    <x v="97"/>
    <x v="390"/>
    <x v="56"/>
    <x v="294"/>
    <x v="1"/>
  </r>
  <r>
    <x v="0"/>
    <x v="31"/>
    <x v="31"/>
    <x v="12"/>
    <x v="12"/>
    <x v="12"/>
    <x v="16"/>
    <x v="234"/>
    <x v="80"/>
    <x v="50"/>
    <x v="220"/>
    <x v="41"/>
    <x v="113"/>
    <x v="1"/>
  </r>
  <r>
    <x v="0"/>
    <x v="31"/>
    <x v="31"/>
    <x v="14"/>
    <x v="14"/>
    <x v="14"/>
    <x v="17"/>
    <x v="77"/>
    <x v="138"/>
    <x v="74"/>
    <x v="231"/>
    <x v="69"/>
    <x v="194"/>
    <x v="1"/>
  </r>
  <r>
    <x v="0"/>
    <x v="31"/>
    <x v="31"/>
    <x v="43"/>
    <x v="43"/>
    <x v="43"/>
    <x v="17"/>
    <x v="77"/>
    <x v="138"/>
    <x v="55"/>
    <x v="352"/>
    <x v="54"/>
    <x v="21"/>
    <x v="1"/>
  </r>
  <r>
    <x v="0"/>
    <x v="31"/>
    <x v="31"/>
    <x v="23"/>
    <x v="23"/>
    <x v="23"/>
    <x v="17"/>
    <x v="77"/>
    <x v="138"/>
    <x v="71"/>
    <x v="391"/>
    <x v="48"/>
    <x v="43"/>
    <x v="1"/>
  </r>
  <r>
    <x v="0"/>
    <x v="31"/>
    <x v="31"/>
    <x v="36"/>
    <x v="36"/>
    <x v="36"/>
    <x v="17"/>
    <x v="77"/>
    <x v="138"/>
    <x v="111"/>
    <x v="158"/>
    <x v="41"/>
    <x v="113"/>
    <x v="1"/>
  </r>
  <r>
    <x v="0"/>
    <x v="32"/>
    <x v="32"/>
    <x v="1"/>
    <x v="1"/>
    <x v="1"/>
    <x v="0"/>
    <x v="236"/>
    <x v="258"/>
    <x v="190"/>
    <x v="392"/>
    <x v="43"/>
    <x v="18"/>
    <x v="1"/>
  </r>
  <r>
    <x v="0"/>
    <x v="32"/>
    <x v="32"/>
    <x v="0"/>
    <x v="0"/>
    <x v="0"/>
    <x v="1"/>
    <x v="237"/>
    <x v="259"/>
    <x v="64"/>
    <x v="393"/>
    <x v="177"/>
    <x v="295"/>
    <x v="1"/>
  </r>
  <r>
    <x v="0"/>
    <x v="32"/>
    <x v="32"/>
    <x v="2"/>
    <x v="2"/>
    <x v="2"/>
    <x v="2"/>
    <x v="168"/>
    <x v="260"/>
    <x v="191"/>
    <x v="394"/>
    <x v="43"/>
    <x v="18"/>
    <x v="1"/>
  </r>
  <r>
    <x v="0"/>
    <x v="32"/>
    <x v="32"/>
    <x v="12"/>
    <x v="12"/>
    <x v="12"/>
    <x v="3"/>
    <x v="137"/>
    <x v="254"/>
    <x v="53"/>
    <x v="185"/>
    <x v="34"/>
    <x v="296"/>
    <x v="1"/>
  </r>
  <r>
    <x v="0"/>
    <x v="32"/>
    <x v="32"/>
    <x v="3"/>
    <x v="3"/>
    <x v="3"/>
    <x v="4"/>
    <x v="62"/>
    <x v="152"/>
    <x v="43"/>
    <x v="395"/>
    <x v="67"/>
    <x v="3"/>
    <x v="1"/>
  </r>
  <r>
    <x v="0"/>
    <x v="32"/>
    <x v="32"/>
    <x v="7"/>
    <x v="7"/>
    <x v="7"/>
    <x v="4"/>
    <x v="62"/>
    <x v="152"/>
    <x v="121"/>
    <x v="396"/>
    <x v="44"/>
    <x v="27"/>
    <x v="1"/>
  </r>
  <r>
    <x v="0"/>
    <x v="32"/>
    <x v="32"/>
    <x v="5"/>
    <x v="5"/>
    <x v="5"/>
    <x v="6"/>
    <x v="114"/>
    <x v="143"/>
    <x v="108"/>
    <x v="96"/>
    <x v="44"/>
    <x v="27"/>
    <x v="1"/>
  </r>
  <r>
    <x v="0"/>
    <x v="32"/>
    <x v="32"/>
    <x v="4"/>
    <x v="4"/>
    <x v="4"/>
    <x v="7"/>
    <x v="117"/>
    <x v="127"/>
    <x v="82"/>
    <x v="297"/>
    <x v="118"/>
    <x v="297"/>
    <x v="1"/>
  </r>
  <r>
    <x v="0"/>
    <x v="32"/>
    <x v="32"/>
    <x v="16"/>
    <x v="16"/>
    <x v="16"/>
    <x v="8"/>
    <x v="132"/>
    <x v="145"/>
    <x v="75"/>
    <x v="397"/>
    <x v="100"/>
    <x v="298"/>
    <x v="1"/>
  </r>
  <r>
    <x v="0"/>
    <x v="32"/>
    <x v="32"/>
    <x v="6"/>
    <x v="6"/>
    <x v="6"/>
    <x v="9"/>
    <x v="65"/>
    <x v="207"/>
    <x v="78"/>
    <x v="150"/>
    <x v="72"/>
    <x v="230"/>
    <x v="1"/>
  </r>
  <r>
    <x v="0"/>
    <x v="32"/>
    <x v="32"/>
    <x v="9"/>
    <x v="9"/>
    <x v="9"/>
    <x v="9"/>
    <x v="65"/>
    <x v="207"/>
    <x v="120"/>
    <x v="398"/>
    <x v="61"/>
    <x v="299"/>
    <x v="1"/>
  </r>
  <r>
    <x v="0"/>
    <x v="32"/>
    <x v="32"/>
    <x v="15"/>
    <x v="15"/>
    <x v="15"/>
    <x v="11"/>
    <x v="69"/>
    <x v="155"/>
    <x v="57"/>
    <x v="332"/>
    <x v="107"/>
    <x v="32"/>
    <x v="1"/>
  </r>
  <r>
    <x v="0"/>
    <x v="32"/>
    <x v="32"/>
    <x v="13"/>
    <x v="13"/>
    <x v="13"/>
    <x v="12"/>
    <x v="53"/>
    <x v="133"/>
    <x v="74"/>
    <x v="399"/>
    <x v="91"/>
    <x v="300"/>
    <x v="1"/>
  </r>
  <r>
    <x v="0"/>
    <x v="32"/>
    <x v="32"/>
    <x v="63"/>
    <x v="63"/>
    <x v="63"/>
    <x v="13"/>
    <x v="56"/>
    <x v="31"/>
    <x v="81"/>
    <x v="225"/>
    <x v="75"/>
    <x v="140"/>
    <x v="1"/>
  </r>
  <r>
    <x v="0"/>
    <x v="32"/>
    <x v="32"/>
    <x v="47"/>
    <x v="47"/>
    <x v="47"/>
    <x v="13"/>
    <x v="56"/>
    <x v="31"/>
    <x v="79"/>
    <x v="400"/>
    <x v="108"/>
    <x v="40"/>
    <x v="1"/>
  </r>
  <r>
    <x v="0"/>
    <x v="32"/>
    <x v="32"/>
    <x v="58"/>
    <x v="58"/>
    <x v="58"/>
    <x v="15"/>
    <x v="70"/>
    <x v="36"/>
    <x v="114"/>
    <x v="401"/>
    <x v="63"/>
    <x v="301"/>
    <x v="1"/>
  </r>
  <r>
    <x v="0"/>
    <x v="32"/>
    <x v="32"/>
    <x v="66"/>
    <x v="66"/>
    <x v="66"/>
    <x v="16"/>
    <x v="68"/>
    <x v="250"/>
    <x v="75"/>
    <x v="397"/>
    <x v="70"/>
    <x v="302"/>
    <x v="1"/>
  </r>
  <r>
    <x v="0"/>
    <x v="32"/>
    <x v="32"/>
    <x v="42"/>
    <x v="42"/>
    <x v="42"/>
    <x v="17"/>
    <x v="107"/>
    <x v="175"/>
    <x v="53"/>
    <x v="185"/>
    <x v="58"/>
    <x v="303"/>
    <x v="1"/>
  </r>
  <r>
    <x v="0"/>
    <x v="32"/>
    <x v="32"/>
    <x v="23"/>
    <x v="23"/>
    <x v="23"/>
    <x v="17"/>
    <x v="107"/>
    <x v="175"/>
    <x v="51"/>
    <x v="402"/>
    <x v="108"/>
    <x v="40"/>
    <x v="1"/>
  </r>
  <r>
    <x v="0"/>
    <x v="32"/>
    <x v="32"/>
    <x v="8"/>
    <x v="8"/>
    <x v="8"/>
    <x v="17"/>
    <x v="107"/>
    <x v="175"/>
    <x v="96"/>
    <x v="403"/>
    <x v="67"/>
    <x v="3"/>
    <x v="1"/>
  </r>
  <r>
    <x v="0"/>
    <x v="32"/>
    <x v="32"/>
    <x v="44"/>
    <x v="44"/>
    <x v="44"/>
    <x v="17"/>
    <x v="107"/>
    <x v="175"/>
    <x v="74"/>
    <x v="399"/>
    <x v="59"/>
    <x v="190"/>
    <x v="1"/>
  </r>
  <r>
    <x v="0"/>
    <x v="33"/>
    <x v="33"/>
    <x v="4"/>
    <x v="4"/>
    <x v="4"/>
    <x v="0"/>
    <x v="137"/>
    <x v="261"/>
    <x v="102"/>
    <x v="404"/>
    <x v="92"/>
    <x v="304"/>
    <x v="1"/>
  </r>
  <r>
    <x v="0"/>
    <x v="33"/>
    <x v="33"/>
    <x v="0"/>
    <x v="0"/>
    <x v="0"/>
    <x v="1"/>
    <x v="54"/>
    <x v="262"/>
    <x v="81"/>
    <x v="316"/>
    <x v="41"/>
    <x v="250"/>
    <x v="1"/>
  </r>
  <r>
    <x v="0"/>
    <x v="33"/>
    <x v="33"/>
    <x v="10"/>
    <x v="10"/>
    <x v="10"/>
    <x v="2"/>
    <x v="55"/>
    <x v="71"/>
    <x v="100"/>
    <x v="405"/>
    <x v="44"/>
    <x v="104"/>
    <x v="1"/>
  </r>
  <r>
    <x v="0"/>
    <x v="33"/>
    <x v="33"/>
    <x v="40"/>
    <x v="40"/>
    <x v="40"/>
    <x v="3"/>
    <x v="70"/>
    <x v="84"/>
    <x v="74"/>
    <x v="335"/>
    <x v="55"/>
    <x v="305"/>
    <x v="1"/>
  </r>
  <r>
    <x v="0"/>
    <x v="33"/>
    <x v="33"/>
    <x v="63"/>
    <x v="63"/>
    <x v="63"/>
    <x v="4"/>
    <x v="103"/>
    <x v="220"/>
    <x v="107"/>
    <x v="406"/>
    <x v="108"/>
    <x v="185"/>
    <x v="1"/>
  </r>
  <r>
    <x v="0"/>
    <x v="33"/>
    <x v="33"/>
    <x v="16"/>
    <x v="16"/>
    <x v="16"/>
    <x v="5"/>
    <x v="73"/>
    <x v="235"/>
    <x v="75"/>
    <x v="407"/>
    <x v="50"/>
    <x v="306"/>
    <x v="1"/>
  </r>
  <r>
    <x v="0"/>
    <x v="33"/>
    <x v="33"/>
    <x v="38"/>
    <x v="38"/>
    <x v="38"/>
    <x v="6"/>
    <x v="74"/>
    <x v="263"/>
    <x v="53"/>
    <x v="58"/>
    <x v="50"/>
    <x v="306"/>
    <x v="1"/>
  </r>
  <r>
    <x v="0"/>
    <x v="33"/>
    <x v="33"/>
    <x v="72"/>
    <x v="72"/>
    <x v="72"/>
    <x v="7"/>
    <x v="75"/>
    <x v="163"/>
    <x v="59"/>
    <x v="146"/>
    <x v="75"/>
    <x v="284"/>
    <x v="1"/>
  </r>
  <r>
    <x v="0"/>
    <x v="33"/>
    <x v="33"/>
    <x v="15"/>
    <x v="15"/>
    <x v="15"/>
    <x v="8"/>
    <x v="76"/>
    <x v="206"/>
    <x v="68"/>
    <x v="408"/>
    <x v="76"/>
    <x v="76"/>
    <x v="1"/>
  </r>
  <r>
    <x v="0"/>
    <x v="33"/>
    <x v="33"/>
    <x v="45"/>
    <x v="45"/>
    <x v="45"/>
    <x v="9"/>
    <x v="77"/>
    <x v="63"/>
    <x v="67"/>
    <x v="120"/>
    <x v="46"/>
    <x v="9"/>
    <x v="1"/>
  </r>
  <r>
    <x v="0"/>
    <x v="33"/>
    <x v="33"/>
    <x v="24"/>
    <x v="24"/>
    <x v="24"/>
    <x v="10"/>
    <x v="238"/>
    <x v="78"/>
    <x v="71"/>
    <x v="14"/>
    <x v="54"/>
    <x v="53"/>
    <x v="1"/>
  </r>
  <r>
    <x v="0"/>
    <x v="33"/>
    <x v="33"/>
    <x v="5"/>
    <x v="5"/>
    <x v="5"/>
    <x v="10"/>
    <x v="238"/>
    <x v="78"/>
    <x v="51"/>
    <x v="409"/>
    <x v="56"/>
    <x v="5"/>
    <x v="1"/>
  </r>
  <r>
    <x v="0"/>
    <x v="33"/>
    <x v="33"/>
    <x v="65"/>
    <x v="65"/>
    <x v="65"/>
    <x v="12"/>
    <x v="79"/>
    <x v="213"/>
    <x v="53"/>
    <x v="58"/>
    <x v="48"/>
    <x v="45"/>
    <x v="1"/>
  </r>
  <r>
    <x v="0"/>
    <x v="33"/>
    <x v="33"/>
    <x v="52"/>
    <x v="52"/>
    <x v="52"/>
    <x v="13"/>
    <x v="239"/>
    <x v="65"/>
    <x v="82"/>
    <x v="295"/>
    <x v="48"/>
    <x v="45"/>
    <x v="1"/>
  </r>
  <r>
    <x v="0"/>
    <x v="33"/>
    <x v="33"/>
    <x v="1"/>
    <x v="1"/>
    <x v="1"/>
    <x v="14"/>
    <x v="240"/>
    <x v="138"/>
    <x v="83"/>
    <x v="410"/>
    <x v="73"/>
    <x v="72"/>
    <x v="1"/>
  </r>
  <r>
    <x v="0"/>
    <x v="33"/>
    <x v="33"/>
    <x v="42"/>
    <x v="42"/>
    <x v="42"/>
    <x v="15"/>
    <x v="241"/>
    <x v="68"/>
    <x v="53"/>
    <x v="58"/>
    <x v="74"/>
    <x v="43"/>
    <x v="1"/>
  </r>
  <r>
    <x v="0"/>
    <x v="33"/>
    <x v="33"/>
    <x v="7"/>
    <x v="7"/>
    <x v="7"/>
    <x v="15"/>
    <x v="241"/>
    <x v="68"/>
    <x v="57"/>
    <x v="282"/>
    <x v="73"/>
    <x v="72"/>
    <x v="1"/>
  </r>
  <r>
    <x v="0"/>
    <x v="33"/>
    <x v="33"/>
    <x v="73"/>
    <x v="73"/>
    <x v="73"/>
    <x v="17"/>
    <x v="242"/>
    <x v="176"/>
    <x v="53"/>
    <x v="58"/>
    <x v="61"/>
    <x v="123"/>
    <x v="1"/>
  </r>
  <r>
    <x v="0"/>
    <x v="33"/>
    <x v="33"/>
    <x v="59"/>
    <x v="59"/>
    <x v="59"/>
    <x v="18"/>
    <x v="243"/>
    <x v="264"/>
    <x v="50"/>
    <x v="272"/>
    <x v="74"/>
    <x v="43"/>
    <x v="1"/>
  </r>
  <r>
    <x v="0"/>
    <x v="33"/>
    <x v="33"/>
    <x v="74"/>
    <x v="74"/>
    <x v="74"/>
    <x v="18"/>
    <x v="243"/>
    <x v="264"/>
    <x v="111"/>
    <x v="158"/>
    <x v="69"/>
    <x v="307"/>
    <x v="1"/>
  </r>
  <r>
    <x v="0"/>
    <x v="33"/>
    <x v="33"/>
    <x v="75"/>
    <x v="75"/>
    <x v="75"/>
    <x v="18"/>
    <x v="243"/>
    <x v="264"/>
    <x v="82"/>
    <x v="295"/>
    <x v="61"/>
    <x v="123"/>
    <x v="1"/>
  </r>
  <r>
    <x v="0"/>
    <x v="33"/>
    <x v="33"/>
    <x v="76"/>
    <x v="76"/>
    <x v="76"/>
    <x v="18"/>
    <x v="243"/>
    <x v="264"/>
    <x v="71"/>
    <x v="14"/>
    <x v="44"/>
    <x v="104"/>
    <x v="1"/>
  </r>
  <r>
    <x v="0"/>
    <x v="34"/>
    <x v="34"/>
    <x v="1"/>
    <x v="1"/>
    <x v="1"/>
    <x v="0"/>
    <x v="244"/>
    <x v="265"/>
    <x v="192"/>
    <x v="411"/>
    <x v="54"/>
    <x v="308"/>
    <x v="1"/>
  </r>
  <r>
    <x v="0"/>
    <x v="34"/>
    <x v="34"/>
    <x v="0"/>
    <x v="0"/>
    <x v="0"/>
    <x v="1"/>
    <x v="245"/>
    <x v="39"/>
    <x v="99"/>
    <x v="412"/>
    <x v="84"/>
    <x v="309"/>
    <x v="1"/>
  </r>
  <r>
    <x v="0"/>
    <x v="34"/>
    <x v="34"/>
    <x v="2"/>
    <x v="2"/>
    <x v="2"/>
    <x v="2"/>
    <x v="246"/>
    <x v="241"/>
    <x v="187"/>
    <x v="413"/>
    <x v="64"/>
    <x v="163"/>
    <x v="1"/>
  </r>
  <r>
    <x v="0"/>
    <x v="34"/>
    <x v="34"/>
    <x v="3"/>
    <x v="3"/>
    <x v="3"/>
    <x v="3"/>
    <x v="151"/>
    <x v="239"/>
    <x v="193"/>
    <x v="414"/>
    <x v="67"/>
    <x v="26"/>
    <x v="1"/>
  </r>
  <r>
    <x v="0"/>
    <x v="34"/>
    <x v="34"/>
    <x v="9"/>
    <x v="9"/>
    <x v="9"/>
    <x v="4"/>
    <x v="172"/>
    <x v="2"/>
    <x v="142"/>
    <x v="415"/>
    <x v="52"/>
    <x v="187"/>
    <x v="6"/>
  </r>
  <r>
    <x v="0"/>
    <x v="34"/>
    <x v="34"/>
    <x v="8"/>
    <x v="8"/>
    <x v="8"/>
    <x v="5"/>
    <x v="91"/>
    <x v="5"/>
    <x v="194"/>
    <x v="416"/>
    <x v="58"/>
    <x v="54"/>
    <x v="1"/>
  </r>
  <r>
    <x v="0"/>
    <x v="34"/>
    <x v="34"/>
    <x v="5"/>
    <x v="5"/>
    <x v="5"/>
    <x v="6"/>
    <x v="146"/>
    <x v="266"/>
    <x v="138"/>
    <x v="6"/>
    <x v="74"/>
    <x v="188"/>
    <x v="1"/>
  </r>
  <r>
    <x v="0"/>
    <x v="34"/>
    <x v="34"/>
    <x v="4"/>
    <x v="4"/>
    <x v="4"/>
    <x v="7"/>
    <x v="131"/>
    <x v="205"/>
    <x v="59"/>
    <x v="37"/>
    <x v="60"/>
    <x v="69"/>
    <x v="1"/>
  </r>
  <r>
    <x v="0"/>
    <x v="34"/>
    <x v="34"/>
    <x v="6"/>
    <x v="6"/>
    <x v="6"/>
    <x v="7"/>
    <x v="131"/>
    <x v="205"/>
    <x v="91"/>
    <x v="211"/>
    <x v="54"/>
    <x v="308"/>
    <x v="1"/>
  </r>
  <r>
    <x v="0"/>
    <x v="34"/>
    <x v="34"/>
    <x v="7"/>
    <x v="7"/>
    <x v="7"/>
    <x v="7"/>
    <x v="131"/>
    <x v="205"/>
    <x v="151"/>
    <x v="417"/>
    <x v="44"/>
    <x v="7"/>
    <x v="1"/>
  </r>
  <r>
    <x v="0"/>
    <x v="34"/>
    <x v="34"/>
    <x v="38"/>
    <x v="38"/>
    <x v="38"/>
    <x v="10"/>
    <x v="121"/>
    <x v="242"/>
    <x v="55"/>
    <x v="101"/>
    <x v="138"/>
    <x v="310"/>
    <x v="1"/>
  </r>
  <r>
    <x v="0"/>
    <x v="34"/>
    <x v="34"/>
    <x v="15"/>
    <x v="15"/>
    <x v="15"/>
    <x v="11"/>
    <x v="95"/>
    <x v="107"/>
    <x v="102"/>
    <x v="315"/>
    <x v="148"/>
    <x v="29"/>
    <x v="1"/>
  </r>
  <r>
    <x v="0"/>
    <x v="34"/>
    <x v="34"/>
    <x v="10"/>
    <x v="10"/>
    <x v="10"/>
    <x v="12"/>
    <x v="247"/>
    <x v="77"/>
    <x v="112"/>
    <x v="418"/>
    <x v="75"/>
    <x v="135"/>
    <x v="1"/>
  </r>
  <r>
    <x v="0"/>
    <x v="34"/>
    <x v="34"/>
    <x v="16"/>
    <x v="16"/>
    <x v="16"/>
    <x v="13"/>
    <x v="100"/>
    <x v="156"/>
    <x v="60"/>
    <x v="362"/>
    <x v="115"/>
    <x v="311"/>
    <x v="1"/>
  </r>
  <r>
    <x v="0"/>
    <x v="34"/>
    <x v="34"/>
    <x v="63"/>
    <x v="63"/>
    <x v="63"/>
    <x v="14"/>
    <x v="62"/>
    <x v="11"/>
    <x v="78"/>
    <x v="369"/>
    <x v="42"/>
    <x v="38"/>
    <x v="1"/>
  </r>
  <r>
    <x v="0"/>
    <x v="34"/>
    <x v="34"/>
    <x v="47"/>
    <x v="47"/>
    <x v="47"/>
    <x v="15"/>
    <x v="101"/>
    <x v="136"/>
    <x v="94"/>
    <x v="419"/>
    <x v="43"/>
    <x v="312"/>
    <x v="1"/>
  </r>
  <r>
    <x v="0"/>
    <x v="34"/>
    <x v="34"/>
    <x v="45"/>
    <x v="45"/>
    <x v="45"/>
    <x v="16"/>
    <x v="47"/>
    <x v="34"/>
    <x v="78"/>
    <x v="369"/>
    <x v="48"/>
    <x v="211"/>
    <x v="1"/>
  </r>
  <r>
    <x v="0"/>
    <x v="34"/>
    <x v="34"/>
    <x v="13"/>
    <x v="13"/>
    <x v="13"/>
    <x v="17"/>
    <x v="145"/>
    <x v="35"/>
    <x v="86"/>
    <x v="57"/>
    <x v="113"/>
    <x v="313"/>
    <x v="1"/>
  </r>
  <r>
    <x v="0"/>
    <x v="34"/>
    <x v="34"/>
    <x v="24"/>
    <x v="24"/>
    <x v="24"/>
    <x v="18"/>
    <x v="48"/>
    <x v="14"/>
    <x v="67"/>
    <x v="420"/>
    <x v="176"/>
    <x v="185"/>
    <x v="1"/>
  </r>
  <r>
    <x v="0"/>
    <x v="34"/>
    <x v="34"/>
    <x v="14"/>
    <x v="14"/>
    <x v="14"/>
    <x v="19"/>
    <x v="123"/>
    <x v="68"/>
    <x v="76"/>
    <x v="62"/>
    <x v="108"/>
    <x v="67"/>
    <x v="1"/>
  </r>
  <r>
    <x v="0"/>
    <x v="35"/>
    <x v="35"/>
    <x v="0"/>
    <x v="0"/>
    <x v="0"/>
    <x v="0"/>
    <x v="248"/>
    <x v="267"/>
    <x v="195"/>
    <x v="81"/>
    <x v="178"/>
    <x v="314"/>
    <x v="1"/>
  </r>
  <r>
    <x v="0"/>
    <x v="35"/>
    <x v="35"/>
    <x v="1"/>
    <x v="1"/>
    <x v="1"/>
    <x v="1"/>
    <x v="249"/>
    <x v="268"/>
    <x v="196"/>
    <x v="421"/>
    <x v="110"/>
    <x v="162"/>
    <x v="1"/>
  </r>
  <r>
    <x v="0"/>
    <x v="35"/>
    <x v="35"/>
    <x v="2"/>
    <x v="2"/>
    <x v="2"/>
    <x v="2"/>
    <x v="250"/>
    <x v="269"/>
    <x v="197"/>
    <x v="422"/>
    <x v="105"/>
    <x v="141"/>
    <x v="1"/>
  </r>
  <r>
    <x v="0"/>
    <x v="35"/>
    <x v="35"/>
    <x v="3"/>
    <x v="3"/>
    <x v="3"/>
    <x v="3"/>
    <x v="251"/>
    <x v="215"/>
    <x v="170"/>
    <x v="40"/>
    <x v="43"/>
    <x v="5"/>
    <x v="1"/>
  </r>
  <r>
    <x v="0"/>
    <x v="35"/>
    <x v="35"/>
    <x v="4"/>
    <x v="4"/>
    <x v="4"/>
    <x v="4"/>
    <x v="252"/>
    <x v="230"/>
    <x v="57"/>
    <x v="397"/>
    <x v="179"/>
    <x v="315"/>
    <x v="1"/>
  </r>
  <r>
    <x v="0"/>
    <x v="35"/>
    <x v="35"/>
    <x v="9"/>
    <x v="9"/>
    <x v="9"/>
    <x v="5"/>
    <x v="253"/>
    <x v="43"/>
    <x v="198"/>
    <x v="423"/>
    <x v="180"/>
    <x v="270"/>
    <x v="6"/>
  </r>
  <r>
    <x v="0"/>
    <x v="35"/>
    <x v="35"/>
    <x v="12"/>
    <x v="12"/>
    <x v="12"/>
    <x v="6"/>
    <x v="120"/>
    <x v="266"/>
    <x v="60"/>
    <x v="87"/>
    <x v="173"/>
    <x v="316"/>
    <x v="1"/>
  </r>
  <r>
    <x v="0"/>
    <x v="35"/>
    <x v="35"/>
    <x v="5"/>
    <x v="5"/>
    <x v="5"/>
    <x v="7"/>
    <x v="254"/>
    <x v="199"/>
    <x v="164"/>
    <x v="424"/>
    <x v="48"/>
    <x v="223"/>
    <x v="1"/>
  </r>
  <r>
    <x v="0"/>
    <x v="35"/>
    <x v="35"/>
    <x v="7"/>
    <x v="7"/>
    <x v="7"/>
    <x v="7"/>
    <x v="254"/>
    <x v="199"/>
    <x v="165"/>
    <x v="425"/>
    <x v="54"/>
    <x v="89"/>
    <x v="1"/>
  </r>
  <r>
    <x v="0"/>
    <x v="35"/>
    <x v="35"/>
    <x v="6"/>
    <x v="6"/>
    <x v="6"/>
    <x v="9"/>
    <x v="255"/>
    <x v="106"/>
    <x v="199"/>
    <x v="426"/>
    <x v="58"/>
    <x v="193"/>
    <x v="1"/>
  </r>
  <r>
    <x v="0"/>
    <x v="35"/>
    <x v="35"/>
    <x v="8"/>
    <x v="8"/>
    <x v="8"/>
    <x v="10"/>
    <x v="256"/>
    <x v="78"/>
    <x v="62"/>
    <x v="418"/>
    <x v="101"/>
    <x v="317"/>
    <x v="1"/>
  </r>
  <r>
    <x v="0"/>
    <x v="35"/>
    <x v="35"/>
    <x v="13"/>
    <x v="13"/>
    <x v="13"/>
    <x v="11"/>
    <x v="151"/>
    <x v="98"/>
    <x v="54"/>
    <x v="420"/>
    <x v="181"/>
    <x v="282"/>
    <x v="1"/>
  </r>
  <r>
    <x v="0"/>
    <x v="35"/>
    <x v="35"/>
    <x v="11"/>
    <x v="11"/>
    <x v="11"/>
    <x v="11"/>
    <x v="151"/>
    <x v="98"/>
    <x v="150"/>
    <x v="168"/>
    <x v="63"/>
    <x v="218"/>
    <x v="1"/>
  </r>
  <r>
    <x v="0"/>
    <x v="35"/>
    <x v="35"/>
    <x v="24"/>
    <x v="24"/>
    <x v="24"/>
    <x v="13"/>
    <x v="130"/>
    <x v="80"/>
    <x v="48"/>
    <x v="275"/>
    <x v="155"/>
    <x v="318"/>
    <x v="1"/>
  </r>
  <r>
    <x v="0"/>
    <x v="35"/>
    <x v="35"/>
    <x v="14"/>
    <x v="14"/>
    <x v="14"/>
    <x v="14"/>
    <x v="42"/>
    <x v="53"/>
    <x v="93"/>
    <x v="412"/>
    <x v="107"/>
    <x v="1"/>
    <x v="1"/>
  </r>
  <r>
    <x v="0"/>
    <x v="35"/>
    <x v="35"/>
    <x v="47"/>
    <x v="47"/>
    <x v="47"/>
    <x v="15"/>
    <x v="257"/>
    <x v="15"/>
    <x v="106"/>
    <x v="246"/>
    <x v="62"/>
    <x v="241"/>
    <x v="1"/>
  </r>
  <r>
    <x v="0"/>
    <x v="35"/>
    <x v="35"/>
    <x v="16"/>
    <x v="16"/>
    <x v="16"/>
    <x v="16"/>
    <x v="131"/>
    <x v="270"/>
    <x v="74"/>
    <x v="185"/>
    <x v="57"/>
    <x v="93"/>
    <x v="1"/>
  </r>
  <r>
    <x v="0"/>
    <x v="35"/>
    <x v="35"/>
    <x v="31"/>
    <x v="31"/>
    <x v="31"/>
    <x v="16"/>
    <x v="131"/>
    <x v="270"/>
    <x v="121"/>
    <x v="427"/>
    <x v="58"/>
    <x v="193"/>
    <x v="1"/>
  </r>
  <r>
    <x v="0"/>
    <x v="35"/>
    <x v="35"/>
    <x v="59"/>
    <x v="59"/>
    <x v="59"/>
    <x v="18"/>
    <x v="98"/>
    <x v="18"/>
    <x v="46"/>
    <x v="19"/>
    <x v="155"/>
    <x v="318"/>
    <x v="1"/>
  </r>
  <r>
    <x v="0"/>
    <x v="35"/>
    <x v="35"/>
    <x v="44"/>
    <x v="44"/>
    <x v="44"/>
    <x v="19"/>
    <x v="173"/>
    <x v="271"/>
    <x v="99"/>
    <x v="428"/>
    <x v="62"/>
    <x v="241"/>
    <x v="1"/>
  </r>
  <r>
    <x v="0"/>
    <x v="36"/>
    <x v="36"/>
    <x v="0"/>
    <x v="0"/>
    <x v="0"/>
    <x v="0"/>
    <x v="258"/>
    <x v="272"/>
    <x v="98"/>
    <x v="23"/>
    <x v="182"/>
    <x v="319"/>
    <x v="1"/>
  </r>
  <r>
    <x v="0"/>
    <x v="36"/>
    <x v="36"/>
    <x v="1"/>
    <x v="1"/>
    <x v="1"/>
    <x v="1"/>
    <x v="231"/>
    <x v="273"/>
    <x v="40"/>
    <x v="238"/>
    <x v="75"/>
    <x v="320"/>
    <x v="1"/>
  </r>
  <r>
    <x v="0"/>
    <x v="36"/>
    <x v="36"/>
    <x v="3"/>
    <x v="3"/>
    <x v="3"/>
    <x v="2"/>
    <x v="143"/>
    <x v="274"/>
    <x v="200"/>
    <x v="429"/>
    <x v="69"/>
    <x v="66"/>
    <x v="1"/>
  </r>
  <r>
    <x v="0"/>
    <x v="36"/>
    <x v="36"/>
    <x v="2"/>
    <x v="2"/>
    <x v="2"/>
    <x v="3"/>
    <x v="113"/>
    <x v="275"/>
    <x v="108"/>
    <x v="430"/>
    <x v="48"/>
    <x v="321"/>
    <x v="1"/>
  </r>
  <r>
    <x v="0"/>
    <x v="36"/>
    <x v="36"/>
    <x v="6"/>
    <x v="6"/>
    <x v="6"/>
    <x v="4"/>
    <x v="157"/>
    <x v="161"/>
    <x v="133"/>
    <x v="431"/>
    <x v="61"/>
    <x v="1"/>
    <x v="1"/>
  </r>
  <r>
    <x v="0"/>
    <x v="36"/>
    <x v="36"/>
    <x v="9"/>
    <x v="9"/>
    <x v="9"/>
    <x v="5"/>
    <x v="101"/>
    <x v="276"/>
    <x v="94"/>
    <x v="338"/>
    <x v="43"/>
    <x v="126"/>
    <x v="1"/>
  </r>
  <r>
    <x v="0"/>
    <x v="36"/>
    <x v="36"/>
    <x v="4"/>
    <x v="4"/>
    <x v="4"/>
    <x v="6"/>
    <x v="48"/>
    <x v="5"/>
    <x v="83"/>
    <x v="129"/>
    <x v="106"/>
    <x v="281"/>
    <x v="1"/>
  </r>
  <r>
    <x v="0"/>
    <x v="36"/>
    <x v="36"/>
    <x v="5"/>
    <x v="5"/>
    <x v="5"/>
    <x v="6"/>
    <x v="48"/>
    <x v="5"/>
    <x v="106"/>
    <x v="432"/>
    <x v="66"/>
    <x v="218"/>
    <x v="1"/>
  </r>
  <r>
    <x v="0"/>
    <x v="36"/>
    <x v="36"/>
    <x v="38"/>
    <x v="38"/>
    <x v="38"/>
    <x v="8"/>
    <x v="133"/>
    <x v="145"/>
    <x v="60"/>
    <x v="433"/>
    <x v="89"/>
    <x v="322"/>
    <x v="1"/>
  </r>
  <r>
    <x v="0"/>
    <x v="36"/>
    <x v="36"/>
    <x v="8"/>
    <x v="8"/>
    <x v="8"/>
    <x v="8"/>
    <x v="133"/>
    <x v="145"/>
    <x v="76"/>
    <x v="123"/>
    <x v="61"/>
    <x v="1"/>
    <x v="6"/>
  </r>
  <r>
    <x v="0"/>
    <x v="36"/>
    <x v="36"/>
    <x v="12"/>
    <x v="12"/>
    <x v="12"/>
    <x v="10"/>
    <x v="134"/>
    <x v="206"/>
    <x v="75"/>
    <x v="101"/>
    <x v="92"/>
    <x v="323"/>
    <x v="1"/>
  </r>
  <r>
    <x v="0"/>
    <x v="36"/>
    <x v="36"/>
    <x v="11"/>
    <x v="11"/>
    <x v="11"/>
    <x v="11"/>
    <x v="51"/>
    <x v="194"/>
    <x v="49"/>
    <x v="434"/>
    <x v="44"/>
    <x v="223"/>
    <x v="1"/>
  </r>
  <r>
    <x v="0"/>
    <x v="36"/>
    <x v="36"/>
    <x v="13"/>
    <x v="13"/>
    <x v="13"/>
    <x v="12"/>
    <x v="66"/>
    <x v="47"/>
    <x v="71"/>
    <x v="140"/>
    <x v="65"/>
    <x v="324"/>
    <x v="1"/>
  </r>
  <r>
    <x v="0"/>
    <x v="36"/>
    <x v="36"/>
    <x v="7"/>
    <x v="7"/>
    <x v="7"/>
    <x v="13"/>
    <x v="54"/>
    <x v="89"/>
    <x v="76"/>
    <x v="123"/>
    <x v="56"/>
    <x v="11"/>
    <x v="1"/>
  </r>
  <r>
    <x v="0"/>
    <x v="36"/>
    <x v="36"/>
    <x v="15"/>
    <x v="15"/>
    <x v="15"/>
    <x v="14"/>
    <x v="56"/>
    <x v="234"/>
    <x v="75"/>
    <x v="101"/>
    <x v="119"/>
    <x v="311"/>
    <x v="1"/>
  </r>
  <r>
    <x v="0"/>
    <x v="36"/>
    <x v="36"/>
    <x v="10"/>
    <x v="10"/>
    <x v="10"/>
    <x v="15"/>
    <x v="57"/>
    <x v="11"/>
    <x v="79"/>
    <x v="74"/>
    <x v="54"/>
    <x v="8"/>
    <x v="1"/>
  </r>
  <r>
    <x v="0"/>
    <x v="36"/>
    <x v="36"/>
    <x v="63"/>
    <x v="63"/>
    <x v="63"/>
    <x v="16"/>
    <x v="68"/>
    <x v="51"/>
    <x v="83"/>
    <x v="129"/>
    <x v="52"/>
    <x v="325"/>
    <x v="1"/>
  </r>
  <r>
    <x v="0"/>
    <x v="36"/>
    <x v="36"/>
    <x v="44"/>
    <x v="44"/>
    <x v="44"/>
    <x v="16"/>
    <x v="68"/>
    <x v="51"/>
    <x v="52"/>
    <x v="52"/>
    <x v="54"/>
    <x v="8"/>
    <x v="1"/>
  </r>
  <r>
    <x v="0"/>
    <x v="36"/>
    <x v="36"/>
    <x v="19"/>
    <x v="19"/>
    <x v="19"/>
    <x v="18"/>
    <x v="107"/>
    <x v="67"/>
    <x v="55"/>
    <x v="193"/>
    <x v="47"/>
    <x v="255"/>
    <x v="1"/>
  </r>
  <r>
    <x v="0"/>
    <x v="36"/>
    <x v="36"/>
    <x v="59"/>
    <x v="59"/>
    <x v="59"/>
    <x v="19"/>
    <x v="72"/>
    <x v="16"/>
    <x v="75"/>
    <x v="101"/>
    <x v="97"/>
    <x v="176"/>
    <x v="1"/>
  </r>
  <r>
    <x v="0"/>
    <x v="36"/>
    <x v="36"/>
    <x v="24"/>
    <x v="24"/>
    <x v="24"/>
    <x v="19"/>
    <x v="72"/>
    <x v="16"/>
    <x v="59"/>
    <x v="203"/>
    <x v="47"/>
    <x v="255"/>
    <x v="1"/>
  </r>
  <r>
    <x v="0"/>
    <x v="36"/>
    <x v="36"/>
    <x v="14"/>
    <x v="14"/>
    <x v="14"/>
    <x v="19"/>
    <x v="72"/>
    <x v="16"/>
    <x v="46"/>
    <x v="402"/>
    <x v="48"/>
    <x v="321"/>
    <x v="1"/>
  </r>
  <r>
    <x v="0"/>
    <x v="37"/>
    <x v="37"/>
    <x v="0"/>
    <x v="0"/>
    <x v="0"/>
    <x v="0"/>
    <x v="259"/>
    <x v="277"/>
    <x v="200"/>
    <x v="435"/>
    <x v="183"/>
    <x v="326"/>
    <x v="1"/>
  </r>
  <r>
    <x v="0"/>
    <x v="37"/>
    <x v="37"/>
    <x v="1"/>
    <x v="1"/>
    <x v="1"/>
    <x v="1"/>
    <x v="260"/>
    <x v="278"/>
    <x v="201"/>
    <x v="436"/>
    <x v="53"/>
    <x v="217"/>
    <x v="1"/>
  </r>
  <r>
    <x v="0"/>
    <x v="37"/>
    <x v="37"/>
    <x v="2"/>
    <x v="2"/>
    <x v="2"/>
    <x v="2"/>
    <x v="155"/>
    <x v="124"/>
    <x v="202"/>
    <x v="437"/>
    <x v="71"/>
    <x v="9"/>
    <x v="1"/>
  </r>
  <r>
    <x v="0"/>
    <x v="37"/>
    <x v="37"/>
    <x v="4"/>
    <x v="4"/>
    <x v="4"/>
    <x v="3"/>
    <x v="82"/>
    <x v="169"/>
    <x v="60"/>
    <x v="362"/>
    <x v="184"/>
    <x v="327"/>
    <x v="6"/>
  </r>
  <r>
    <x v="0"/>
    <x v="37"/>
    <x v="37"/>
    <x v="12"/>
    <x v="12"/>
    <x v="12"/>
    <x v="4"/>
    <x v="261"/>
    <x v="58"/>
    <x v="55"/>
    <x v="101"/>
    <x v="185"/>
    <x v="328"/>
    <x v="1"/>
  </r>
  <r>
    <x v="0"/>
    <x v="37"/>
    <x v="37"/>
    <x v="9"/>
    <x v="9"/>
    <x v="9"/>
    <x v="5"/>
    <x v="262"/>
    <x v="279"/>
    <x v="193"/>
    <x v="438"/>
    <x v="101"/>
    <x v="120"/>
    <x v="6"/>
  </r>
  <r>
    <x v="0"/>
    <x v="37"/>
    <x v="37"/>
    <x v="3"/>
    <x v="3"/>
    <x v="3"/>
    <x v="6"/>
    <x v="59"/>
    <x v="232"/>
    <x v="153"/>
    <x v="207"/>
    <x v="69"/>
    <x v="60"/>
    <x v="1"/>
  </r>
  <r>
    <x v="0"/>
    <x v="37"/>
    <x v="37"/>
    <x v="6"/>
    <x v="6"/>
    <x v="6"/>
    <x v="7"/>
    <x v="228"/>
    <x v="280"/>
    <x v="134"/>
    <x v="198"/>
    <x v="70"/>
    <x v="267"/>
    <x v="1"/>
  </r>
  <r>
    <x v="0"/>
    <x v="37"/>
    <x v="37"/>
    <x v="7"/>
    <x v="7"/>
    <x v="7"/>
    <x v="8"/>
    <x v="263"/>
    <x v="118"/>
    <x v="203"/>
    <x v="439"/>
    <x v="76"/>
    <x v="329"/>
    <x v="1"/>
  </r>
  <r>
    <x v="0"/>
    <x v="37"/>
    <x v="37"/>
    <x v="13"/>
    <x v="13"/>
    <x v="13"/>
    <x v="9"/>
    <x v="129"/>
    <x v="184"/>
    <x v="57"/>
    <x v="203"/>
    <x v="125"/>
    <x v="183"/>
    <x v="1"/>
  </r>
  <r>
    <x v="0"/>
    <x v="37"/>
    <x v="37"/>
    <x v="5"/>
    <x v="5"/>
    <x v="5"/>
    <x v="10"/>
    <x v="167"/>
    <x v="155"/>
    <x v="117"/>
    <x v="161"/>
    <x v="69"/>
    <x v="60"/>
    <x v="1"/>
  </r>
  <r>
    <x v="0"/>
    <x v="37"/>
    <x v="37"/>
    <x v="8"/>
    <x v="8"/>
    <x v="8"/>
    <x v="11"/>
    <x v="42"/>
    <x v="147"/>
    <x v="172"/>
    <x v="47"/>
    <x v="58"/>
    <x v="23"/>
    <x v="1"/>
  </r>
  <r>
    <x v="0"/>
    <x v="37"/>
    <x v="37"/>
    <x v="20"/>
    <x v="20"/>
    <x v="20"/>
    <x v="12"/>
    <x v="143"/>
    <x v="66"/>
    <x v="81"/>
    <x v="440"/>
    <x v="115"/>
    <x v="50"/>
    <x v="1"/>
  </r>
  <r>
    <x v="0"/>
    <x v="37"/>
    <x v="37"/>
    <x v="16"/>
    <x v="16"/>
    <x v="16"/>
    <x v="13"/>
    <x v="105"/>
    <x v="34"/>
    <x v="53"/>
    <x v="319"/>
    <x v="186"/>
    <x v="330"/>
    <x v="1"/>
  </r>
  <r>
    <x v="0"/>
    <x v="37"/>
    <x v="37"/>
    <x v="27"/>
    <x v="27"/>
    <x v="27"/>
    <x v="14"/>
    <x v="113"/>
    <x v="109"/>
    <x v="82"/>
    <x v="441"/>
    <x v="88"/>
    <x v="331"/>
    <x v="1"/>
  </r>
  <r>
    <x v="0"/>
    <x v="37"/>
    <x v="37"/>
    <x v="18"/>
    <x v="18"/>
    <x v="18"/>
    <x v="14"/>
    <x v="113"/>
    <x v="109"/>
    <x v="49"/>
    <x v="233"/>
    <x v="89"/>
    <x v="162"/>
    <x v="1"/>
  </r>
  <r>
    <x v="0"/>
    <x v="37"/>
    <x v="37"/>
    <x v="47"/>
    <x v="47"/>
    <x v="47"/>
    <x v="14"/>
    <x v="113"/>
    <x v="109"/>
    <x v="120"/>
    <x v="442"/>
    <x v="119"/>
    <x v="34"/>
    <x v="1"/>
  </r>
  <r>
    <x v="0"/>
    <x v="37"/>
    <x v="37"/>
    <x v="19"/>
    <x v="19"/>
    <x v="19"/>
    <x v="17"/>
    <x v="97"/>
    <x v="53"/>
    <x v="59"/>
    <x v="37"/>
    <x v="34"/>
    <x v="94"/>
    <x v="1"/>
  </r>
  <r>
    <x v="0"/>
    <x v="37"/>
    <x v="37"/>
    <x v="14"/>
    <x v="14"/>
    <x v="14"/>
    <x v="18"/>
    <x v="137"/>
    <x v="250"/>
    <x v="94"/>
    <x v="194"/>
    <x v="70"/>
    <x v="267"/>
    <x v="1"/>
  </r>
  <r>
    <x v="0"/>
    <x v="37"/>
    <x v="37"/>
    <x v="15"/>
    <x v="15"/>
    <x v="15"/>
    <x v="19"/>
    <x v="45"/>
    <x v="68"/>
    <x v="55"/>
    <x v="101"/>
    <x v="112"/>
    <x v="332"/>
    <x v="1"/>
  </r>
  <r>
    <x v="0"/>
    <x v="38"/>
    <x v="38"/>
    <x v="0"/>
    <x v="0"/>
    <x v="0"/>
    <x v="0"/>
    <x v="164"/>
    <x v="281"/>
    <x v="194"/>
    <x v="443"/>
    <x v="96"/>
    <x v="333"/>
    <x v="1"/>
  </r>
  <r>
    <x v="0"/>
    <x v="38"/>
    <x v="38"/>
    <x v="4"/>
    <x v="4"/>
    <x v="4"/>
    <x v="1"/>
    <x v="99"/>
    <x v="282"/>
    <x v="97"/>
    <x v="444"/>
    <x v="86"/>
    <x v="334"/>
    <x v="1"/>
  </r>
  <r>
    <x v="0"/>
    <x v="38"/>
    <x v="38"/>
    <x v="10"/>
    <x v="10"/>
    <x v="10"/>
    <x v="2"/>
    <x v="45"/>
    <x v="283"/>
    <x v="121"/>
    <x v="445"/>
    <x v="67"/>
    <x v="9"/>
    <x v="1"/>
  </r>
  <r>
    <x v="0"/>
    <x v="38"/>
    <x v="38"/>
    <x v="1"/>
    <x v="1"/>
    <x v="1"/>
    <x v="3"/>
    <x v="115"/>
    <x v="197"/>
    <x v="87"/>
    <x v="77"/>
    <x v="69"/>
    <x v="126"/>
    <x v="1"/>
  </r>
  <r>
    <x v="0"/>
    <x v="38"/>
    <x v="38"/>
    <x v="3"/>
    <x v="3"/>
    <x v="3"/>
    <x v="4"/>
    <x v="157"/>
    <x v="284"/>
    <x v="43"/>
    <x v="446"/>
    <x v="56"/>
    <x v="60"/>
    <x v="1"/>
  </r>
  <r>
    <x v="0"/>
    <x v="38"/>
    <x v="38"/>
    <x v="11"/>
    <x v="11"/>
    <x v="11"/>
    <x v="5"/>
    <x v="119"/>
    <x v="58"/>
    <x v="122"/>
    <x v="447"/>
    <x v="73"/>
    <x v="72"/>
    <x v="1"/>
  </r>
  <r>
    <x v="0"/>
    <x v="38"/>
    <x v="38"/>
    <x v="9"/>
    <x v="9"/>
    <x v="9"/>
    <x v="6"/>
    <x v="134"/>
    <x v="114"/>
    <x v="128"/>
    <x v="269"/>
    <x v="74"/>
    <x v="194"/>
    <x v="1"/>
  </r>
  <r>
    <x v="0"/>
    <x v="38"/>
    <x v="38"/>
    <x v="2"/>
    <x v="2"/>
    <x v="2"/>
    <x v="6"/>
    <x v="134"/>
    <x v="114"/>
    <x v="72"/>
    <x v="448"/>
    <x v="63"/>
    <x v="191"/>
    <x v="1"/>
  </r>
  <r>
    <x v="0"/>
    <x v="38"/>
    <x v="38"/>
    <x v="77"/>
    <x v="77"/>
    <x v="77"/>
    <x v="8"/>
    <x v="51"/>
    <x v="104"/>
    <x v="79"/>
    <x v="103"/>
    <x v="41"/>
    <x v="144"/>
    <x v="1"/>
  </r>
  <r>
    <x v="0"/>
    <x v="38"/>
    <x v="38"/>
    <x v="5"/>
    <x v="5"/>
    <x v="5"/>
    <x v="8"/>
    <x v="51"/>
    <x v="104"/>
    <x v="120"/>
    <x v="449"/>
    <x v="73"/>
    <x v="72"/>
    <x v="1"/>
  </r>
  <r>
    <x v="0"/>
    <x v="38"/>
    <x v="38"/>
    <x v="7"/>
    <x v="7"/>
    <x v="7"/>
    <x v="10"/>
    <x v="66"/>
    <x v="127"/>
    <x v="99"/>
    <x v="450"/>
    <x v="73"/>
    <x v="72"/>
    <x v="1"/>
  </r>
  <r>
    <x v="0"/>
    <x v="38"/>
    <x v="38"/>
    <x v="54"/>
    <x v="54"/>
    <x v="54"/>
    <x v="11"/>
    <x v="106"/>
    <x v="62"/>
    <x v="79"/>
    <x v="103"/>
    <x v="48"/>
    <x v="307"/>
    <x v="1"/>
  </r>
  <r>
    <x v="0"/>
    <x v="38"/>
    <x v="38"/>
    <x v="6"/>
    <x v="6"/>
    <x v="6"/>
    <x v="12"/>
    <x v="57"/>
    <x v="47"/>
    <x v="114"/>
    <x v="451"/>
    <x v="72"/>
    <x v="219"/>
    <x v="1"/>
  </r>
  <r>
    <x v="0"/>
    <x v="38"/>
    <x v="38"/>
    <x v="8"/>
    <x v="8"/>
    <x v="8"/>
    <x v="13"/>
    <x v="58"/>
    <x v="257"/>
    <x v="114"/>
    <x v="451"/>
    <x v="46"/>
    <x v="157"/>
    <x v="1"/>
  </r>
  <r>
    <x v="0"/>
    <x v="38"/>
    <x v="38"/>
    <x v="12"/>
    <x v="12"/>
    <x v="12"/>
    <x v="14"/>
    <x v="103"/>
    <x v="49"/>
    <x v="50"/>
    <x v="441"/>
    <x v="49"/>
    <x v="293"/>
    <x v="6"/>
  </r>
  <r>
    <x v="0"/>
    <x v="38"/>
    <x v="38"/>
    <x v="21"/>
    <x v="21"/>
    <x v="21"/>
    <x v="15"/>
    <x v="107"/>
    <x v="91"/>
    <x v="86"/>
    <x v="236"/>
    <x v="52"/>
    <x v="335"/>
    <x v="1"/>
  </r>
  <r>
    <x v="0"/>
    <x v="38"/>
    <x v="38"/>
    <x v="15"/>
    <x v="15"/>
    <x v="15"/>
    <x v="16"/>
    <x v="74"/>
    <x v="66"/>
    <x v="59"/>
    <x v="84"/>
    <x v="41"/>
    <x v="144"/>
    <x v="1"/>
  </r>
  <r>
    <x v="0"/>
    <x v="38"/>
    <x v="38"/>
    <x v="38"/>
    <x v="38"/>
    <x v="38"/>
    <x v="17"/>
    <x v="108"/>
    <x v="35"/>
    <x v="68"/>
    <x v="65"/>
    <x v="41"/>
    <x v="144"/>
    <x v="1"/>
  </r>
  <r>
    <x v="0"/>
    <x v="38"/>
    <x v="38"/>
    <x v="45"/>
    <x v="45"/>
    <x v="45"/>
    <x v="17"/>
    <x v="108"/>
    <x v="35"/>
    <x v="64"/>
    <x v="452"/>
    <x v="67"/>
    <x v="9"/>
    <x v="1"/>
  </r>
  <r>
    <x v="0"/>
    <x v="38"/>
    <x v="38"/>
    <x v="23"/>
    <x v="23"/>
    <x v="23"/>
    <x v="19"/>
    <x v="75"/>
    <x v="15"/>
    <x v="86"/>
    <x v="236"/>
    <x v="48"/>
    <x v="307"/>
    <x v="1"/>
  </r>
  <r>
    <x v="0"/>
    <x v="39"/>
    <x v="39"/>
    <x v="1"/>
    <x v="1"/>
    <x v="1"/>
    <x v="0"/>
    <x v="264"/>
    <x v="285"/>
    <x v="204"/>
    <x v="453"/>
    <x v="70"/>
    <x v="130"/>
    <x v="1"/>
  </r>
  <r>
    <x v="0"/>
    <x v="39"/>
    <x v="39"/>
    <x v="0"/>
    <x v="0"/>
    <x v="0"/>
    <x v="1"/>
    <x v="265"/>
    <x v="224"/>
    <x v="42"/>
    <x v="454"/>
    <x v="171"/>
    <x v="336"/>
    <x v="1"/>
  </r>
  <r>
    <x v="0"/>
    <x v="39"/>
    <x v="39"/>
    <x v="2"/>
    <x v="2"/>
    <x v="2"/>
    <x v="2"/>
    <x v="225"/>
    <x v="286"/>
    <x v="164"/>
    <x v="253"/>
    <x v="89"/>
    <x v="337"/>
    <x v="1"/>
  </r>
  <r>
    <x v="0"/>
    <x v="39"/>
    <x v="39"/>
    <x v="9"/>
    <x v="9"/>
    <x v="9"/>
    <x v="3"/>
    <x v="266"/>
    <x v="253"/>
    <x v="149"/>
    <x v="5"/>
    <x v="53"/>
    <x v="253"/>
    <x v="1"/>
  </r>
  <r>
    <x v="0"/>
    <x v="39"/>
    <x v="39"/>
    <x v="7"/>
    <x v="7"/>
    <x v="7"/>
    <x v="4"/>
    <x v="267"/>
    <x v="287"/>
    <x v="163"/>
    <x v="455"/>
    <x v="72"/>
    <x v="338"/>
    <x v="1"/>
  </r>
  <r>
    <x v="0"/>
    <x v="39"/>
    <x v="39"/>
    <x v="3"/>
    <x v="3"/>
    <x v="3"/>
    <x v="5"/>
    <x v="60"/>
    <x v="104"/>
    <x v="137"/>
    <x v="198"/>
    <x v="69"/>
    <x v="206"/>
    <x v="1"/>
  </r>
  <r>
    <x v="0"/>
    <x v="39"/>
    <x v="39"/>
    <x v="5"/>
    <x v="5"/>
    <x v="5"/>
    <x v="5"/>
    <x v="60"/>
    <x v="104"/>
    <x v="137"/>
    <x v="198"/>
    <x v="61"/>
    <x v="77"/>
    <x v="0"/>
  </r>
  <r>
    <x v="0"/>
    <x v="39"/>
    <x v="39"/>
    <x v="6"/>
    <x v="6"/>
    <x v="6"/>
    <x v="7"/>
    <x v="89"/>
    <x v="106"/>
    <x v="90"/>
    <x v="81"/>
    <x v="59"/>
    <x v="56"/>
    <x v="1"/>
  </r>
  <r>
    <x v="0"/>
    <x v="39"/>
    <x v="39"/>
    <x v="8"/>
    <x v="8"/>
    <x v="8"/>
    <x v="8"/>
    <x v="168"/>
    <x v="77"/>
    <x v="43"/>
    <x v="456"/>
    <x v="105"/>
    <x v="38"/>
    <x v="1"/>
  </r>
  <r>
    <x v="0"/>
    <x v="39"/>
    <x v="39"/>
    <x v="12"/>
    <x v="12"/>
    <x v="12"/>
    <x v="9"/>
    <x v="92"/>
    <x v="132"/>
    <x v="75"/>
    <x v="220"/>
    <x v="132"/>
    <x v="339"/>
    <x v="6"/>
  </r>
  <r>
    <x v="0"/>
    <x v="39"/>
    <x v="39"/>
    <x v="4"/>
    <x v="4"/>
    <x v="4"/>
    <x v="10"/>
    <x v="111"/>
    <x v="165"/>
    <x v="71"/>
    <x v="87"/>
    <x v="187"/>
    <x v="200"/>
    <x v="1"/>
  </r>
  <r>
    <x v="0"/>
    <x v="39"/>
    <x v="39"/>
    <x v="11"/>
    <x v="11"/>
    <x v="11"/>
    <x v="11"/>
    <x v="173"/>
    <x v="243"/>
    <x v="191"/>
    <x v="123"/>
    <x v="46"/>
    <x v="11"/>
    <x v="1"/>
  </r>
  <r>
    <x v="0"/>
    <x v="39"/>
    <x v="39"/>
    <x v="63"/>
    <x v="63"/>
    <x v="63"/>
    <x v="12"/>
    <x v="94"/>
    <x v="49"/>
    <x v="106"/>
    <x v="276"/>
    <x v="107"/>
    <x v="270"/>
    <x v="1"/>
  </r>
  <r>
    <x v="0"/>
    <x v="39"/>
    <x v="39"/>
    <x v="38"/>
    <x v="38"/>
    <x v="38"/>
    <x v="13"/>
    <x v="44"/>
    <x v="244"/>
    <x v="86"/>
    <x v="457"/>
    <x v="188"/>
    <x v="266"/>
    <x v="1"/>
  </r>
  <r>
    <x v="0"/>
    <x v="39"/>
    <x v="39"/>
    <x v="16"/>
    <x v="16"/>
    <x v="16"/>
    <x v="14"/>
    <x v="95"/>
    <x v="133"/>
    <x v="46"/>
    <x v="458"/>
    <x v="94"/>
    <x v="76"/>
    <x v="1"/>
  </r>
  <r>
    <x v="0"/>
    <x v="39"/>
    <x v="39"/>
    <x v="14"/>
    <x v="14"/>
    <x v="14"/>
    <x v="15"/>
    <x v="122"/>
    <x v="213"/>
    <x v="70"/>
    <x v="328"/>
    <x v="107"/>
    <x v="270"/>
    <x v="1"/>
  </r>
  <r>
    <x v="0"/>
    <x v="39"/>
    <x v="39"/>
    <x v="44"/>
    <x v="44"/>
    <x v="44"/>
    <x v="16"/>
    <x v="136"/>
    <x v="50"/>
    <x v="101"/>
    <x v="90"/>
    <x v="106"/>
    <x v="340"/>
    <x v="1"/>
  </r>
  <r>
    <x v="0"/>
    <x v="39"/>
    <x v="39"/>
    <x v="15"/>
    <x v="15"/>
    <x v="15"/>
    <x v="17"/>
    <x v="137"/>
    <x v="51"/>
    <x v="86"/>
    <x v="457"/>
    <x v="169"/>
    <x v="313"/>
    <x v="1"/>
  </r>
  <r>
    <x v="0"/>
    <x v="39"/>
    <x v="39"/>
    <x v="13"/>
    <x v="13"/>
    <x v="13"/>
    <x v="18"/>
    <x v="126"/>
    <x v="148"/>
    <x v="97"/>
    <x v="399"/>
    <x v="148"/>
    <x v="215"/>
    <x v="1"/>
  </r>
  <r>
    <x v="0"/>
    <x v="39"/>
    <x v="39"/>
    <x v="10"/>
    <x v="10"/>
    <x v="10"/>
    <x v="18"/>
    <x v="126"/>
    <x v="148"/>
    <x v="94"/>
    <x v="459"/>
    <x v="55"/>
    <x v="173"/>
    <x v="1"/>
  </r>
  <r>
    <x v="0"/>
    <x v="40"/>
    <x v="40"/>
    <x v="10"/>
    <x v="10"/>
    <x v="10"/>
    <x v="0"/>
    <x v="168"/>
    <x v="288"/>
    <x v="151"/>
    <x v="460"/>
    <x v="74"/>
    <x v="28"/>
    <x v="1"/>
  </r>
  <r>
    <x v="0"/>
    <x v="40"/>
    <x v="40"/>
    <x v="1"/>
    <x v="1"/>
    <x v="1"/>
    <x v="1"/>
    <x v="247"/>
    <x v="179"/>
    <x v="172"/>
    <x v="461"/>
    <x v="46"/>
    <x v="211"/>
    <x v="1"/>
  </r>
  <r>
    <x v="0"/>
    <x v="40"/>
    <x v="40"/>
    <x v="0"/>
    <x v="0"/>
    <x v="0"/>
    <x v="2"/>
    <x v="136"/>
    <x v="71"/>
    <x v="110"/>
    <x v="339"/>
    <x v="65"/>
    <x v="341"/>
    <x v="1"/>
  </r>
  <r>
    <x v="0"/>
    <x v="40"/>
    <x v="40"/>
    <x v="9"/>
    <x v="9"/>
    <x v="9"/>
    <x v="3"/>
    <x v="145"/>
    <x v="151"/>
    <x v="106"/>
    <x v="462"/>
    <x v="44"/>
    <x v="206"/>
    <x v="1"/>
  </r>
  <r>
    <x v="0"/>
    <x v="40"/>
    <x v="40"/>
    <x v="7"/>
    <x v="7"/>
    <x v="7"/>
    <x v="4"/>
    <x v="123"/>
    <x v="289"/>
    <x v="95"/>
    <x v="463"/>
    <x v="56"/>
    <x v="89"/>
    <x v="1"/>
  </r>
  <r>
    <x v="0"/>
    <x v="40"/>
    <x v="40"/>
    <x v="38"/>
    <x v="38"/>
    <x v="38"/>
    <x v="5"/>
    <x v="133"/>
    <x v="60"/>
    <x v="51"/>
    <x v="315"/>
    <x v="53"/>
    <x v="342"/>
    <x v="1"/>
  </r>
  <r>
    <x v="0"/>
    <x v="40"/>
    <x v="40"/>
    <x v="2"/>
    <x v="2"/>
    <x v="2"/>
    <x v="5"/>
    <x v="133"/>
    <x v="60"/>
    <x v="78"/>
    <x v="190"/>
    <x v="56"/>
    <x v="89"/>
    <x v="1"/>
  </r>
  <r>
    <x v="0"/>
    <x v="40"/>
    <x v="40"/>
    <x v="5"/>
    <x v="5"/>
    <x v="5"/>
    <x v="7"/>
    <x v="69"/>
    <x v="76"/>
    <x v="120"/>
    <x v="244"/>
    <x v="66"/>
    <x v="17"/>
    <x v="1"/>
  </r>
  <r>
    <x v="0"/>
    <x v="40"/>
    <x v="40"/>
    <x v="63"/>
    <x v="63"/>
    <x v="63"/>
    <x v="8"/>
    <x v="66"/>
    <x v="97"/>
    <x v="114"/>
    <x v="464"/>
    <x v="43"/>
    <x v="31"/>
    <x v="1"/>
  </r>
  <r>
    <x v="0"/>
    <x v="40"/>
    <x v="40"/>
    <x v="3"/>
    <x v="3"/>
    <x v="3"/>
    <x v="9"/>
    <x v="52"/>
    <x v="280"/>
    <x v="92"/>
    <x v="410"/>
    <x v="56"/>
    <x v="89"/>
    <x v="1"/>
  </r>
  <r>
    <x v="0"/>
    <x v="40"/>
    <x v="40"/>
    <x v="45"/>
    <x v="45"/>
    <x v="45"/>
    <x v="10"/>
    <x v="54"/>
    <x v="26"/>
    <x v="128"/>
    <x v="141"/>
    <x v="44"/>
    <x v="206"/>
    <x v="1"/>
  </r>
  <r>
    <x v="0"/>
    <x v="40"/>
    <x v="40"/>
    <x v="4"/>
    <x v="4"/>
    <x v="4"/>
    <x v="11"/>
    <x v="55"/>
    <x v="46"/>
    <x v="71"/>
    <x v="420"/>
    <x v="91"/>
    <x v="343"/>
    <x v="1"/>
  </r>
  <r>
    <x v="0"/>
    <x v="40"/>
    <x v="40"/>
    <x v="8"/>
    <x v="8"/>
    <x v="8"/>
    <x v="12"/>
    <x v="106"/>
    <x v="63"/>
    <x v="79"/>
    <x v="247"/>
    <x v="48"/>
    <x v="138"/>
    <x v="1"/>
  </r>
  <r>
    <x v="0"/>
    <x v="40"/>
    <x v="40"/>
    <x v="15"/>
    <x v="15"/>
    <x v="15"/>
    <x v="13"/>
    <x v="58"/>
    <x v="233"/>
    <x v="60"/>
    <x v="433"/>
    <x v="55"/>
    <x v="226"/>
    <x v="1"/>
  </r>
  <r>
    <x v="0"/>
    <x v="40"/>
    <x v="40"/>
    <x v="47"/>
    <x v="47"/>
    <x v="47"/>
    <x v="13"/>
    <x v="58"/>
    <x v="233"/>
    <x v="56"/>
    <x v="216"/>
    <x v="72"/>
    <x v="199"/>
    <x v="1"/>
  </r>
  <r>
    <x v="0"/>
    <x v="40"/>
    <x v="40"/>
    <x v="16"/>
    <x v="16"/>
    <x v="16"/>
    <x v="15"/>
    <x v="71"/>
    <x v="11"/>
    <x v="68"/>
    <x v="362"/>
    <x v="70"/>
    <x v="288"/>
    <x v="1"/>
  </r>
  <r>
    <x v="0"/>
    <x v="40"/>
    <x v="40"/>
    <x v="6"/>
    <x v="6"/>
    <x v="6"/>
    <x v="16"/>
    <x v="104"/>
    <x v="50"/>
    <x v="79"/>
    <x v="247"/>
    <x v="44"/>
    <x v="206"/>
    <x v="1"/>
  </r>
  <r>
    <x v="0"/>
    <x v="40"/>
    <x v="40"/>
    <x v="11"/>
    <x v="11"/>
    <x v="11"/>
    <x v="16"/>
    <x v="104"/>
    <x v="50"/>
    <x v="56"/>
    <x v="216"/>
    <x v="66"/>
    <x v="17"/>
    <x v="1"/>
  </r>
  <r>
    <x v="0"/>
    <x v="40"/>
    <x v="40"/>
    <x v="78"/>
    <x v="78"/>
    <x v="78"/>
    <x v="18"/>
    <x v="72"/>
    <x v="108"/>
    <x v="86"/>
    <x v="465"/>
    <x v="76"/>
    <x v="160"/>
    <x v="1"/>
  </r>
  <r>
    <x v="0"/>
    <x v="40"/>
    <x v="40"/>
    <x v="14"/>
    <x v="14"/>
    <x v="14"/>
    <x v="19"/>
    <x v="74"/>
    <x v="109"/>
    <x v="81"/>
    <x v="349"/>
    <x v="63"/>
    <x v="132"/>
    <x v="1"/>
  </r>
  <r>
    <x v="0"/>
    <x v="41"/>
    <x v="41"/>
    <x v="0"/>
    <x v="0"/>
    <x v="0"/>
    <x v="0"/>
    <x v="268"/>
    <x v="290"/>
    <x v="94"/>
    <x v="466"/>
    <x v="189"/>
    <x v="344"/>
    <x v="1"/>
  </r>
  <r>
    <x v="0"/>
    <x v="41"/>
    <x v="41"/>
    <x v="1"/>
    <x v="1"/>
    <x v="1"/>
    <x v="1"/>
    <x v="227"/>
    <x v="291"/>
    <x v="103"/>
    <x v="467"/>
    <x v="54"/>
    <x v="211"/>
    <x v="1"/>
  </r>
  <r>
    <x v="0"/>
    <x v="41"/>
    <x v="41"/>
    <x v="3"/>
    <x v="3"/>
    <x v="3"/>
    <x v="2"/>
    <x v="269"/>
    <x v="193"/>
    <x v="205"/>
    <x v="468"/>
    <x v="46"/>
    <x v="223"/>
    <x v="1"/>
  </r>
  <r>
    <x v="0"/>
    <x v="41"/>
    <x v="41"/>
    <x v="5"/>
    <x v="5"/>
    <x v="5"/>
    <x v="3"/>
    <x v="129"/>
    <x v="292"/>
    <x v="88"/>
    <x v="22"/>
    <x v="63"/>
    <x v="27"/>
    <x v="1"/>
  </r>
  <r>
    <x v="0"/>
    <x v="41"/>
    <x v="41"/>
    <x v="7"/>
    <x v="7"/>
    <x v="7"/>
    <x v="4"/>
    <x v="92"/>
    <x v="59"/>
    <x v="162"/>
    <x v="2"/>
    <x v="56"/>
    <x v="118"/>
    <x v="1"/>
  </r>
  <r>
    <x v="0"/>
    <x v="41"/>
    <x v="41"/>
    <x v="2"/>
    <x v="2"/>
    <x v="2"/>
    <x v="4"/>
    <x v="92"/>
    <x v="59"/>
    <x v="151"/>
    <x v="469"/>
    <x v="61"/>
    <x v="177"/>
    <x v="1"/>
  </r>
  <r>
    <x v="0"/>
    <x v="41"/>
    <x v="41"/>
    <x v="8"/>
    <x v="8"/>
    <x v="8"/>
    <x v="6"/>
    <x v="232"/>
    <x v="73"/>
    <x v="194"/>
    <x v="426"/>
    <x v="64"/>
    <x v="222"/>
    <x v="1"/>
  </r>
  <r>
    <x v="0"/>
    <x v="41"/>
    <x v="41"/>
    <x v="15"/>
    <x v="15"/>
    <x v="15"/>
    <x v="7"/>
    <x v="114"/>
    <x v="132"/>
    <x v="54"/>
    <x v="31"/>
    <x v="62"/>
    <x v="345"/>
    <x v="1"/>
  </r>
  <r>
    <x v="0"/>
    <x v="41"/>
    <x v="41"/>
    <x v="9"/>
    <x v="9"/>
    <x v="9"/>
    <x v="8"/>
    <x v="115"/>
    <x v="78"/>
    <x v="119"/>
    <x v="470"/>
    <x v="48"/>
    <x v="157"/>
    <x v="3"/>
  </r>
  <r>
    <x v="0"/>
    <x v="41"/>
    <x v="41"/>
    <x v="6"/>
    <x v="6"/>
    <x v="6"/>
    <x v="9"/>
    <x v="64"/>
    <x v="10"/>
    <x v="61"/>
    <x v="471"/>
    <x v="61"/>
    <x v="177"/>
    <x v="1"/>
  </r>
  <r>
    <x v="0"/>
    <x v="41"/>
    <x v="41"/>
    <x v="16"/>
    <x v="16"/>
    <x v="16"/>
    <x v="10"/>
    <x v="117"/>
    <x v="244"/>
    <x v="57"/>
    <x v="140"/>
    <x v="45"/>
    <x v="29"/>
    <x v="1"/>
  </r>
  <r>
    <x v="0"/>
    <x v="41"/>
    <x v="41"/>
    <x v="10"/>
    <x v="10"/>
    <x v="10"/>
    <x v="10"/>
    <x v="117"/>
    <x v="244"/>
    <x v="49"/>
    <x v="34"/>
    <x v="41"/>
    <x v="202"/>
    <x v="1"/>
  </r>
  <r>
    <x v="0"/>
    <x v="41"/>
    <x v="41"/>
    <x v="24"/>
    <x v="24"/>
    <x v="24"/>
    <x v="12"/>
    <x v="102"/>
    <x v="209"/>
    <x v="97"/>
    <x v="375"/>
    <x v="176"/>
    <x v="134"/>
    <x v="1"/>
  </r>
  <r>
    <x v="0"/>
    <x v="41"/>
    <x v="41"/>
    <x v="4"/>
    <x v="4"/>
    <x v="4"/>
    <x v="13"/>
    <x v="48"/>
    <x v="99"/>
    <x v="57"/>
    <x v="140"/>
    <x v="92"/>
    <x v="13"/>
    <x v="1"/>
  </r>
  <r>
    <x v="0"/>
    <x v="41"/>
    <x v="41"/>
    <x v="11"/>
    <x v="11"/>
    <x v="11"/>
    <x v="13"/>
    <x v="48"/>
    <x v="99"/>
    <x v="119"/>
    <x v="470"/>
    <x v="44"/>
    <x v="178"/>
    <x v="1"/>
  </r>
  <r>
    <x v="0"/>
    <x v="41"/>
    <x v="41"/>
    <x v="22"/>
    <x v="22"/>
    <x v="22"/>
    <x v="15"/>
    <x v="49"/>
    <x v="136"/>
    <x v="54"/>
    <x v="31"/>
    <x v="53"/>
    <x v="115"/>
    <x v="1"/>
  </r>
  <r>
    <x v="0"/>
    <x v="41"/>
    <x v="41"/>
    <x v="12"/>
    <x v="12"/>
    <x v="12"/>
    <x v="15"/>
    <x v="49"/>
    <x v="136"/>
    <x v="68"/>
    <x v="37"/>
    <x v="45"/>
    <x v="29"/>
    <x v="1"/>
  </r>
  <r>
    <x v="0"/>
    <x v="41"/>
    <x v="41"/>
    <x v="14"/>
    <x v="14"/>
    <x v="14"/>
    <x v="17"/>
    <x v="65"/>
    <x v="65"/>
    <x v="128"/>
    <x v="472"/>
    <x v="64"/>
    <x v="222"/>
    <x v="1"/>
  </r>
  <r>
    <x v="0"/>
    <x v="41"/>
    <x v="41"/>
    <x v="59"/>
    <x v="59"/>
    <x v="59"/>
    <x v="18"/>
    <x v="50"/>
    <x v="67"/>
    <x v="74"/>
    <x v="245"/>
    <x v="176"/>
    <x v="134"/>
    <x v="1"/>
  </r>
  <r>
    <x v="0"/>
    <x v="41"/>
    <x v="41"/>
    <x v="54"/>
    <x v="54"/>
    <x v="54"/>
    <x v="19"/>
    <x v="124"/>
    <x v="36"/>
    <x v="101"/>
    <x v="328"/>
    <x v="108"/>
    <x v="312"/>
    <x v="1"/>
  </r>
  <r>
    <x v="0"/>
    <x v="41"/>
    <x v="41"/>
    <x v="23"/>
    <x v="23"/>
    <x v="23"/>
    <x v="19"/>
    <x v="124"/>
    <x v="36"/>
    <x v="73"/>
    <x v="473"/>
    <x v="55"/>
    <x v="54"/>
    <x v="1"/>
  </r>
  <r>
    <x v="0"/>
    <x v="42"/>
    <x v="42"/>
    <x v="1"/>
    <x v="1"/>
    <x v="1"/>
    <x v="0"/>
    <x v="270"/>
    <x v="293"/>
    <x v="206"/>
    <x v="474"/>
    <x v="105"/>
    <x v="126"/>
    <x v="1"/>
  </r>
  <r>
    <x v="0"/>
    <x v="42"/>
    <x v="42"/>
    <x v="0"/>
    <x v="0"/>
    <x v="0"/>
    <x v="1"/>
    <x v="271"/>
    <x v="294"/>
    <x v="207"/>
    <x v="268"/>
    <x v="190"/>
    <x v="346"/>
    <x v="1"/>
  </r>
  <r>
    <x v="0"/>
    <x v="42"/>
    <x v="42"/>
    <x v="2"/>
    <x v="2"/>
    <x v="2"/>
    <x v="2"/>
    <x v="272"/>
    <x v="295"/>
    <x v="208"/>
    <x v="475"/>
    <x v="58"/>
    <x v="162"/>
    <x v="1"/>
  </r>
  <r>
    <x v="0"/>
    <x v="42"/>
    <x v="42"/>
    <x v="5"/>
    <x v="5"/>
    <x v="5"/>
    <x v="3"/>
    <x v="273"/>
    <x v="296"/>
    <x v="209"/>
    <x v="476"/>
    <x v="69"/>
    <x v="98"/>
    <x v="1"/>
  </r>
  <r>
    <x v="0"/>
    <x v="42"/>
    <x v="42"/>
    <x v="9"/>
    <x v="9"/>
    <x v="9"/>
    <x v="4"/>
    <x v="254"/>
    <x v="297"/>
    <x v="199"/>
    <x v="455"/>
    <x v="89"/>
    <x v="290"/>
    <x v="1"/>
  </r>
  <r>
    <x v="0"/>
    <x v="42"/>
    <x v="42"/>
    <x v="7"/>
    <x v="7"/>
    <x v="7"/>
    <x v="5"/>
    <x v="274"/>
    <x v="298"/>
    <x v="198"/>
    <x v="477"/>
    <x v="72"/>
    <x v="60"/>
    <x v="1"/>
  </r>
  <r>
    <x v="0"/>
    <x v="42"/>
    <x v="42"/>
    <x v="3"/>
    <x v="3"/>
    <x v="3"/>
    <x v="6"/>
    <x v="230"/>
    <x v="117"/>
    <x v="88"/>
    <x v="135"/>
    <x v="44"/>
    <x v="118"/>
    <x v="1"/>
  </r>
  <r>
    <x v="0"/>
    <x v="42"/>
    <x v="42"/>
    <x v="12"/>
    <x v="12"/>
    <x v="12"/>
    <x v="7"/>
    <x v="111"/>
    <x v="184"/>
    <x v="53"/>
    <x v="478"/>
    <x v="103"/>
    <x v="213"/>
    <x v="1"/>
  </r>
  <r>
    <x v="0"/>
    <x v="42"/>
    <x v="42"/>
    <x v="8"/>
    <x v="8"/>
    <x v="8"/>
    <x v="8"/>
    <x v="152"/>
    <x v="200"/>
    <x v="61"/>
    <x v="479"/>
    <x v="106"/>
    <x v="347"/>
    <x v="1"/>
  </r>
  <r>
    <x v="0"/>
    <x v="42"/>
    <x v="42"/>
    <x v="6"/>
    <x v="6"/>
    <x v="6"/>
    <x v="9"/>
    <x v="93"/>
    <x v="216"/>
    <x v="152"/>
    <x v="471"/>
    <x v="75"/>
    <x v="164"/>
    <x v="1"/>
  </r>
  <r>
    <x v="0"/>
    <x v="42"/>
    <x v="42"/>
    <x v="38"/>
    <x v="38"/>
    <x v="38"/>
    <x v="10"/>
    <x v="121"/>
    <x v="79"/>
    <x v="60"/>
    <x v="16"/>
    <x v="87"/>
    <x v="348"/>
    <x v="1"/>
  </r>
  <r>
    <x v="0"/>
    <x v="42"/>
    <x v="42"/>
    <x v="63"/>
    <x v="63"/>
    <x v="63"/>
    <x v="10"/>
    <x v="121"/>
    <x v="79"/>
    <x v="145"/>
    <x v="358"/>
    <x v="91"/>
    <x v="71"/>
    <x v="1"/>
  </r>
  <r>
    <x v="0"/>
    <x v="42"/>
    <x v="42"/>
    <x v="16"/>
    <x v="16"/>
    <x v="16"/>
    <x v="12"/>
    <x v="148"/>
    <x v="11"/>
    <x v="46"/>
    <x v="205"/>
    <x v="136"/>
    <x v="156"/>
    <x v="1"/>
  </r>
  <r>
    <x v="0"/>
    <x v="42"/>
    <x v="42"/>
    <x v="59"/>
    <x v="59"/>
    <x v="59"/>
    <x v="13"/>
    <x v="95"/>
    <x v="209"/>
    <x v="51"/>
    <x v="420"/>
    <x v="123"/>
    <x v="349"/>
    <x v="1"/>
  </r>
  <r>
    <x v="0"/>
    <x v="42"/>
    <x v="42"/>
    <x v="13"/>
    <x v="13"/>
    <x v="13"/>
    <x v="13"/>
    <x v="95"/>
    <x v="209"/>
    <x v="96"/>
    <x v="480"/>
    <x v="191"/>
    <x v="184"/>
    <x v="1"/>
  </r>
  <r>
    <x v="0"/>
    <x v="42"/>
    <x v="42"/>
    <x v="44"/>
    <x v="44"/>
    <x v="44"/>
    <x v="13"/>
    <x v="95"/>
    <x v="209"/>
    <x v="49"/>
    <x v="234"/>
    <x v="110"/>
    <x v="102"/>
    <x v="1"/>
  </r>
  <r>
    <x v="0"/>
    <x v="42"/>
    <x v="42"/>
    <x v="4"/>
    <x v="4"/>
    <x v="4"/>
    <x v="16"/>
    <x v="105"/>
    <x v="12"/>
    <x v="55"/>
    <x v="170"/>
    <x v="188"/>
    <x v="350"/>
    <x v="1"/>
  </r>
  <r>
    <x v="0"/>
    <x v="42"/>
    <x v="42"/>
    <x v="18"/>
    <x v="18"/>
    <x v="18"/>
    <x v="17"/>
    <x v="122"/>
    <x v="30"/>
    <x v="95"/>
    <x v="459"/>
    <x v="71"/>
    <x v="321"/>
    <x v="1"/>
  </r>
  <r>
    <x v="0"/>
    <x v="42"/>
    <x v="42"/>
    <x v="24"/>
    <x v="24"/>
    <x v="24"/>
    <x v="18"/>
    <x v="99"/>
    <x v="33"/>
    <x v="86"/>
    <x v="126"/>
    <x v="104"/>
    <x v="63"/>
    <x v="1"/>
  </r>
  <r>
    <x v="0"/>
    <x v="42"/>
    <x v="42"/>
    <x v="47"/>
    <x v="47"/>
    <x v="47"/>
    <x v="19"/>
    <x v="137"/>
    <x v="65"/>
    <x v="69"/>
    <x v="328"/>
    <x v="42"/>
    <x v="66"/>
    <x v="6"/>
  </r>
  <r>
    <x v="0"/>
    <x v="43"/>
    <x v="43"/>
    <x v="0"/>
    <x v="0"/>
    <x v="0"/>
    <x v="0"/>
    <x v="275"/>
    <x v="299"/>
    <x v="210"/>
    <x v="481"/>
    <x v="192"/>
    <x v="351"/>
    <x v="6"/>
  </r>
  <r>
    <x v="0"/>
    <x v="43"/>
    <x v="43"/>
    <x v="1"/>
    <x v="1"/>
    <x v="1"/>
    <x v="1"/>
    <x v="276"/>
    <x v="300"/>
    <x v="181"/>
    <x v="436"/>
    <x v="42"/>
    <x v="66"/>
    <x v="1"/>
  </r>
  <r>
    <x v="0"/>
    <x v="43"/>
    <x v="43"/>
    <x v="2"/>
    <x v="2"/>
    <x v="2"/>
    <x v="2"/>
    <x v="135"/>
    <x v="189"/>
    <x v="211"/>
    <x v="482"/>
    <x v="52"/>
    <x v="23"/>
    <x v="1"/>
  </r>
  <r>
    <x v="0"/>
    <x v="43"/>
    <x v="43"/>
    <x v="4"/>
    <x v="4"/>
    <x v="4"/>
    <x v="3"/>
    <x v="84"/>
    <x v="301"/>
    <x v="114"/>
    <x v="139"/>
    <x v="193"/>
    <x v="352"/>
    <x v="1"/>
  </r>
  <r>
    <x v="0"/>
    <x v="43"/>
    <x v="43"/>
    <x v="9"/>
    <x v="9"/>
    <x v="9"/>
    <x v="4"/>
    <x v="256"/>
    <x v="113"/>
    <x v="212"/>
    <x v="483"/>
    <x v="107"/>
    <x v="35"/>
    <x v="1"/>
  </r>
  <r>
    <x v="0"/>
    <x v="43"/>
    <x v="43"/>
    <x v="12"/>
    <x v="12"/>
    <x v="12"/>
    <x v="5"/>
    <x v="172"/>
    <x v="104"/>
    <x v="59"/>
    <x v="272"/>
    <x v="189"/>
    <x v="353"/>
    <x v="6"/>
  </r>
  <r>
    <x v="0"/>
    <x v="43"/>
    <x v="43"/>
    <x v="3"/>
    <x v="3"/>
    <x v="3"/>
    <x v="5"/>
    <x v="172"/>
    <x v="104"/>
    <x v="144"/>
    <x v="484"/>
    <x v="54"/>
    <x v="153"/>
    <x v="1"/>
  </r>
  <r>
    <x v="0"/>
    <x v="43"/>
    <x v="43"/>
    <x v="7"/>
    <x v="7"/>
    <x v="7"/>
    <x v="7"/>
    <x v="231"/>
    <x v="115"/>
    <x v="144"/>
    <x v="484"/>
    <x v="56"/>
    <x v="236"/>
    <x v="1"/>
  </r>
  <r>
    <x v="0"/>
    <x v="43"/>
    <x v="43"/>
    <x v="6"/>
    <x v="6"/>
    <x v="6"/>
    <x v="8"/>
    <x v="41"/>
    <x v="205"/>
    <x v="160"/>
    <x v="338"/>
    <x v="43"/>
    <x v="191"/>
    <x v="1"/>
  </r>
  <r>
    <x v="0"/>
    <x v="43"/>
    <x v="43"/>
    <x v="5"/>
    <x v="5"/>
    <x v="5"/>
    <x v="9"/>
    <x v="142"/>
    <x v="145"/>
    <x v="90"/>
    <x v="463"/>
    <x v="74"/>
    <x v="24"/>
    <x v="1"/>
  </r>
  <r>
    <x v="0"/>
    <x v="43"/>
    <x v="43"/>
    <x v="10"/>
    <x v="10"/>
    <x v="10"/>
    <x v="10"/>
    <x v="92"/>
    <x v="194"/>
    <x v="108"/>
    <x v="29"/>
    <x v="91"/>
    <x v="270"/>
    <x v="1"/>
  </r>
  <r>
    <x v="0"/>
    <x v="43"/>
    <x v="43"/>
    <x v="63"/>
    <x v="63"/>
    <x v="63"/>
    <x v="11"/>
    <x v="95"/>
    <x v="234"/>
    <x v="94"/>
    <x v="34"/>
    <x v="89"/>
    <x v="354"/>
    <x v="1"/>
  </r>
  <r>
    <x v="0"/>
    <x v="43"/>
    <x v="43"/>
    <x v="11"/>
    <x v="11"/>
    <x v="11"/>
    <x v="12"/>
    <x v="143"/>
    <x v="243"/>
    <x v="85"/>
    <x v="485"/>
    <x v="56"/>
    <x v="236"/>
    <x v="1"/>
  </r>
  <r>
    <x v="0"/>
    <x v="43"/>
    <x v="43"/>
    <x v="13"/>
    <x v="13"/>
    <x v="13"/>
    <x v="13"/>
    <x v="247"/>
    <x v="11"/>
    <x v="67"/>
    <x v="92"/>
    <x v="95"/>
    <x v="174"/>
    <x v="1"/>
  </r>
  <r>
    <x v="0"/>
    <x v="43"/>
    <x v="43"/>
    <x v="38"/>
    <x v="38"/>
    <x v="38"/>
    <x v="14"/>
    <x v="137"/>
    <x v="13"/>
    <x v="68"/>
    <x v="32"/>
    <x v="94"/>
    <x v="179"/>
    <x v="1"/>
  </r>
  <r>
    <x v="0"/>
    <x v="43"/>
    <x v="43"/>
    <x v="8"/>
    <x v="8"/>
    <x v="8"/>
    <x v="15"/>
    <x v="126"/>
    <x v="32"/>
    <x v="95"/>
    <x v="486"/>
    <x v="50"/>
    <x v="222"/>
    <x v="1"/>
  </r>
  <r>
    <x v="0"/>
    <x v="43"/>
    <x v="43"/>
    <x v="16"/>
    <x v="16"/>
    <x v="16"/>
    <x v="16"/>
    <x v="63"/>
    <x v="65"/>
    <x v="71"/>
    <x v="383"/>
    <x v="191"/>
    <x v="282"/>
    <x v="1"/>
  </r>
  <r>
    <x v="0"/>
    <x v="43"/>
    <x v="43"/>
    <x v="14"/>
    <x v="14"/>
    <x v="14"/>
    <x v="17"/>
    <x v="138"/>
    <x v="35"/>
    <x v="128"/>
    <x v="452"/>
    <x v="70"/>
    <x v="18"/>
    <x v="1"/>
  </r>
  <r>
    <x v="0"/>
    <x v="43"/>
    <x v="43"/>
    <x v="47"/>
    <x v="47"/>
    <x v="47"/>
    <x v="18"/>
    <x v="46"/>
    <x v="36"/>
    <x v="92"/>
    <x v="88"/>
    <x v="97"/>
    <x v="135"/>
    <x v="1"/>
  </r>
  <r>
    <x v="0"/>
    <x v="43"/>
    <x v="43"/>
    <x v="15"/>
    <x v="15"/>
    <x v="15"/>
    <x v="19"/>
    <x v="65"/>
    <x v="302"/>
    <x v="55"/>
    <x v="232"/>
    <x v="101"/>
    <x v="175"/>
    <x v="1"/>
  </r>
  <r>
    <x v="0"/>
    <x v="44"/>
    <x v="44"/>
    <x v="0"/>
    <x v="0"/>
    <x v="0"/>
    <x v="0"/>
    <x v="139"/>
    <x v="303"/>
    <x v="78"/>
    <x v="402"/>
    <x v="24"/>
    <x v="355"/>
    <x v="1"/>
  </r>
  <r>
    <x v="0"/>
    <x v="44"/>
    <x v="44"/>
    <x v="1"/>
    <x v="1"/>
    <x v="1"/>
    <x v="1"/>
    <x v="277"/>
    <x v="141"/>
    <x v="213"/>
    <x v="133"/>
    <x v="49"/>
    <x v="235"/>
    <x v="1"/>
  </r>
  <r>
    <x v="0"/>
    <x v="44"/>
    <x v="44"/>
    <x v="2"/>
    <x v="2"/>
    <x v="2"/>
    <x v="2"/>
    <x v="278"/>
    <x v="22"/>
    <x v="214"/>
    <x v="487"/>
    <x v="55"/>
    <x v="312"/>
    <x v="1"/>
  </r>
  <r>
    <x v="0"/>
    <x v="44"/>
    <x v="44"/>
    <x v="4"/>
    <x v="4"/>
    <x v="4"/>
    <x v="3"/>
    <x v="279"/>
    <x v="174"/>
    <x v="46"/>
    <x v="362"/>
    <x v="194"/>
    <x v="356"/>
    <x v="1"/>
  </r>
  <r>
    <x v="0"/>
    <x v="44"/>
    <x v="44"/>
    <x v="40"/>
    <x v="40"/>
    <x v="40"/>
    <x v="4"/>
    <x v="244"/>
    <x v="279"/>
    <x v="215"/>
    <x v="488"/>
    <x v="131"/>
    <x v="124"/>
    <x v="1"/>
  </r>
  <r>
    <x v="0"/>
    <x v="44"/>
    <x v="44"/>
    <x v="5"/>
    <x v="5"/>
    <x v="5"/>
    <x v="5"/>
    <x v="280"/>
    <x v="181"/>
    <x v="216"/>
    <x v="489"/>
    <x v="74"/>
    <x v="60"/>
    <x v="1"/>
  </r>
  <r>
    <x v="0"/>
    <x v="44"/>
    <x v="44"/>
    <x v="7"/>
    <x v="7"/>
    <x v="7"/>
    <x v="6"/>
    <x v="60"/>
    <x v="9"/>
    <x v="135"/>
    <x v="211"/>
    <x v="46"/>
    <x v="143"/>
    <x v="1"/>
  </r>
  <r>
    <x v="0"/>
    <x v="44"/>
    <x v="44"/>
    <x v="9"/>
    <x v="9"/>
    <x v="9"/>
    <x v="7"/>
    <x v="229"/>
    <x v="119"/>
    <x v="212"/>
    <x v="93"/>
    <x v="43"/>
    <x v="329"/>
    <x v="1"/>
  </r>
  <r>
    <x v="0"/>
    <x v="44"/>
    <x v="44"/>
    <x v="3"/>
    <x v="3"/>
    <x v="3"/>
    <x v="8"/>
    <x v="89"/>
    <x v="216"/>
    <x v="88"/>
    <x v="490"/>
    <x v="72"/>
    <x v="41"/>
    <x v="1"/>
  </r>
  <r>
    <x v="0"/>
    <x v="44"/>
    <x v="44"/>
    <x v="38"/>
    <x v="38"/>
    <x v="38"/>
    <x v="9"/>
    <x v="90"/>
    <x v="243"/>
    <x v="110"/>
    <x v="491"/>
    <x v="195"/>
    <x v="30"/>
    <x v="1"/>
  </r>
  <r>
    <x v="0"/>
    <x v="44"/>
    <x v="44"/>
    <x v="8"/>
    <x v="8"/>
    <x v="8"/>
    <x v="10"/>
    <x v="281"/>
    <x v="156"/>
    <x v="40"/>
    <x v="492"/>
    <x v="47"/>
    <x v="164"/>
    <x v="6"/>
  </r>
  <r>
    <x v="0"/>
    <x v="44"/>
    <x v="44"/>
    <x v="10"/>
    <x v="10"/>
    <x v="10"/>
    <x v="11"/>
    <x v="282"/>
    <x v="49"/>
    <x v="140"/>
    <x v="103"/>
    <x v="53"/>
    <x v="187"/>
    <x v="1"/>
  </r>
  <r>
    <x v="0"/>
    <x v="44"/>
    <x v="44"/>
    <x v="12"/>
    <x v="12"/>
    <x v="12"/>
    <x v="12"/>
    <x v="91"/>
    <x v="228"/>
    <x v="50"/>
    <x v="493"/>
    <x v="177"/>
    <x v="357"/>
    <x v="1"/>
  </r>
  <r>
    <x v="0"/>
    <x v="44"/>
    <x v="44"/>
    <x v="79"/>
    <x v="79"/>
    <x v="79"/>
    <x v="13"/>
    <x v="147"/>
    <x v="245"/>
    <x v="128"/>
    <x v="196"/>
    <x v="112"/>
    <x v="302"/>
    <x v="1"/>
  </r>
  <r>
    <x v="0"/>
    <x v="44"/>
    <x v="44"/>
    <x v="11"/>
    <x v="11"/>
    <x v="11"/>
    <x v="14"/>
    <x v="42"/>
    <x v="64"/>
    <x v="33"/>
    <x v="29"/>
    <x v="73"/>
    <x v="72"/>
    <x v="1"/>
  </r>
  <r>
    <x v="0"/>
    <x v="44"/>
    <x v="44"/>
    <x v="6"/>
    <x v="6"/>
    <x v="6"/>
    <x v="15"/>
    <x v="173"/>
    <x v="148"/>
    <x v="215"/>
    <x v="488"/>
    <x v="63"/>
    <x v="17"/>
    <x v="1"/>
  </r>
  <r>
    <x v="0"/>
    <x v="44"/>
    <x v="44"/>
    <x v="80"/>
    <x v="80"/>
    <x v="80"/>
    <x v="16"/>
    <x v="94"/>
    <x v="36"/>
    <x v="49"/>
    <x v="219"/>
    <x v="113"/>
    <x v="337"/>
    <x v="1"/>
  </r>
  <r>
    <x v="0"/>
    <x v="44"/>
    <x v="44"/>
    <x v="52"/>
    <x v="52"/>
    <x v="52"/>
    <x v="16"/>
    <x v="94"/>
    <x v="36"/>
    <x v="48"/>
    <x v="337"/>
    <x v="180"/>
    <x v="320"/>
    <x v="1"/>
  </r>
  <r>
    <x v="0"/>
    <x v="44"/>
    <x v="44"/>
    <x v="14"/>
    <x v="14"/>
    <x v="14"/>
    <x v="16"/>
    <x v="94"/>
    <x v="36"/>
    <x v="139"/>
    <x v="349"/>
    <x v="50"/>
    <x v="157"/>
    <x v="0"/>
  </r>
  <r>
    <x v="0"/>
    <x v="44"/>
    <x v="44"/>
    <x v="45"/>
    <x v="45"/>
    <x v="45"/>
    <x v="19"/>
    <x v="95"/>
    <x v="53"/>
    <x v="108"/>
    <x v="214"/>
    <x v="52"/>
    <x v="109"/>
    <x v="1"/>
  </r>
  <r>
    <x v="0"/>
    <x v="45"/>
    <x v="45"/>
    <x v="77"/>
    <x v="77"/>
    <x v="77"/>
    <x v="0"/>
    <x v="125"/>
    <x v="304"/>
    <x v="139"/>
    <x v="432"/>
    <x v="135"/>
    <x v="83"/>
    <x v="1"/>
  </r>
  <r>
    <x v="0"/>
    <x v="45"/>
    <x v="45"/>
    <x v="1"/>
    <x v="1"/>
    <x v="1"/>
    <x v="1"/>
    <x v="230"/>
    <x v="305"/>
    <x v="90"/>
    <x v="494"/>
    <x v="76"/>
    <x v="358"/>
    <x v="1"/>
  </r>
  <r>
    <x v="0"/>
    <x v="45"/>
    <x v="45"/>
    <x v="0"/>
    <x v="0"/>
    <x v="0"/>
    <x v="2"/>
    <x v="114"/>
    <x v="255"/>
    <x v="51"/>
    <x v="44"/>
    <x v="180"/>
    <x v="275"/>
    <x v="1"/>
  </r>
  <r>
    <x v="0"/>
    <x v="45"/>
    <x v="45"/>
    <x v="2"/>
    <x v="2"/>
    <x v="2"/>
    <x v="2"/>
    <x v="114"/>
    <x v="255"/>
    <x v="112"/>
    <x v="166"/>
    <x v="67"/>
    <x v="104"/>
    <x v="1"/>
  </r>
  <r>
    <x v="0"/>
    <x v="45"/>
    <x v="45"/>
    <x v="7"/>
    <x v="7"/>
    <x v="7"/>
    <x v="4"/>
    <x v="47"/>
    <x v="306"/>
    <x v="61"/>
    <x v="495"/>
    <x v="44"/>
    <x v="294"/>
    <x v="1"/>
  </r>
  <r>
    <x v="0"/>
    <x v="45"/>
    <x v="45"/>
    <x v="5"/>
    <x v="5"/>
    <x v="5"/>
    <x v="5"/>
    <x v="145"/>
    <x v="116"/>
    <x v="95"/>
    <x v="496"/>
    <x v="72"/>
    <x v="171"/>
    <x v="1"/>
  </r>
  <r>
    <x v="0"/>
    <x v="45"/>
    <x v="45"/>
    <x v="6"/>
    <x v="6"/>
    <x v="6"/>
    <x v="6"/>
    <x v="132"/>
    <x v="183"/>
    <x v="106"/>
    <x v="201"/>
    <x v="56"/>
    <x v="7"/>
    <x v="1"/>
  </r>
  <r>
    <x v="0"/>
    <x v="45"/>
    <x v="45"/>
    <x v="3"/>
    <x v="3"/>
    <x v="3"/>
    <x v="7"/>
    <x v="48"/>
    <x v="117"/>
    <x v="78"/>
    <x v="497"/>
    <x v="74"/>
    <x v="267"/>
    <x v="1"/>
  </r>
  <r>
    <x v="0"/>
    <x v="45"/>
    <x v="45"/>
    <x v="11"/>
    <x v="11"/>
    <x v="11"/>
    <x v="7"/>
    <x v="48"/>
    <x v="117"/>
    <x v="122"/>
    <x v="226"/>
    <x v="63"/>
    <x v="5"/>
    <x v="1"/>
  </r>
  <r>
    <x v="0"/>
    <x v="45"/>
    <x v="45"/>
    <x v="18"/>
    <x v="18"/>
    <x v="18"/>
    <x v="9"/>
    <x v="124"/>
    <x v="257"/>
    <x v="67"/>
    <x v="159"/>
    <x v="119"/>
    <x v="29"/>
    <x v="1"/>
  </r>
  <r>
    <x v="0"/>
    <x v="45"/>
    <x v="45"/>
    <x v="63"/>
    <x v="63"/>
    <x v="63"/>
    <x v="10"/>
    <x v="134"/>
    <x v="166"/>
    <x v="76"/>
    <x v="171"/>
    <x v="61"/>
    <x v="164"/>
    <x v="1"/>
  </r>
  <r>
    <x v="0"/>
    <x v="45"/>
    <x v="45"/>
    <x v="38"/>
    <x v="38"/>
    <x v="38"/>
    <x v="11"/>
    <x v="66"/>
    <x v="79"/>
    <x v="82"/>
    <x v="498"/>
    <x v="106"/>
    <x v="359"/>
    <x v="1"/>
  </r>
  <r>
    <x v="0"/>
    <x v="45"/>
    <x v="45"/>
    <x v="14"/>
    <x v="14"/>
    <x v="14"/>
    <x v="12"/>
    <x v="52"/>
    <x v="244"/>
    <x v="101"/>
    <x v="470"/>
    <x v="72"/>
    <x v="171"/>
    <x v="1"/>
  </r>
  <r>
    <x v="0"/>
    <x v="45"/>
    <x v="45"/>
    <x v="9"/>
    <x v="9"/>
    <x v="9"/>
    <x v="12"/>
    <x v="52"/>
    <x v="244"/>
    <x v="58"/>
    <x v="271"/>
    <x v="61"/>
    <x v="164"/>
    <x v="1"/>
  </r>
  <r>
    <x v="0"/>
    <x v="45"/>
    <x v="45"/>
    <x v="8"/>
    <x v="8"/>
    <x v="8"/>
    <x v="14"/>
    <x v="53"/>
    <x v="91"/>
    <x v="102"/>
    <x v="97"/>
    <x v="74"/>
    <x v="267"/>
    <x v="1"/>
  </r>
  <r>
    <x v="0"/>
    <x v="45"/>
    <x v="45"/>
    <x v="4"/>
    <x v="4"/>
    <x v="4"/>
    <x v="14"/>
    <x v="53"/>
    <x v="91"/>
    <x v="75"/>
    <x v="170"/>
    <x v="65"/>
    <x v="360"/>
    <x v="6"/>
  </r>
  <r>
    <x v="0"/>
    <x v="45"/>
    <x v="45"/>
    <x v="15"/>
    <x v="15"/>
    <x v="15"/>
    <x v="16"/>
    <x v="55"/>
    <x v="64"/>
    <x v="107"/>
    <x v="49"/>
    <x v="50"/>
    <x v="31"/>
    <x v="1"/>
  </r>
  <r>
    <x v="0"/>
    <x v="45"/>
    <x v="45"/>
    <x v="10"/>
    <x v="10"/>
    <x v="10"/>
    <x v="17"/>
    <x v="56"/>
    <x v="135"/>
    <x v="81"/>
    <x v="389"/>
    <x v="75"/>
    <x v="54"/>
    <x v="1"/>
  </r>
  <r>
    <x v="0"/>
    <x v="45"/>
    <x v="45"/>
    <x v="45"/>
    <x v="45"/>
    <x v="45"/>
    <x v="18"/>
    <x v="57"/>
    <x v="108"/>
    <x v="48"/>
    <x v="499"/>
    <x v="44"/>
    <x v="294"/>
    <x v="1"/>
  </r>
  <r>
    <x v="0"/>
    <x v="45"/>
    <x v="45"/>
    <x v="16"/>
    <x v="16"/>
    <x v="16"/>
    <x v="19"/>
    <x v="67"/>
    <x v="148"/>
    <x v="59"/>
    <x v="284"/>
    <x v="68"/>
    <x v="184"/>
    <x v="1"/>
  </r>
  <r>
    <x v="0"/>
    <x v="45"/>
    <x v="45"/>
    <x v="23"/>
    <x v="23"/>
    <x v="23"/>
    <x v="19"/>
    <x v="67"/>
    <x v="148"/>
    <x v="97"/>
    <x v="231"/>
    <x v="76"/>
    <x v="358"/>
    <x v="1"/>
  </r>
  <r>
    <x v="0"/>
    <x v="46"/>
    <x v="46"/>
    <x v="0"/>
    <x v="0"/>
    <x v="0"/>
    <x v="0"/>
    <x v="128"/>
    <x v="307"/>
    <x v="125"/>
    <x v="500"/>
    <x v="148"/>
    <x v="361"/>
    <x v="1"/>
  </r>
  <r>
    <x v="0"/>
    <x v="46"/>
    <x v="46"/>
    <x v="10"/>
    <x v="10"/>
    <x v="10"/>
    <x v="1"/>
    <x v="230"/>
    <x v="224"/>
    <x v="134"/>
    <x v="501"/>
    <x v="72"/>
    <x v="99"/>
    <x v="1"/>
  </r>
  <r>
    <x v="0"/>
    <x v="46"/>
    <x v="46"/>
    <x v="1"/>
    <x v="1"/>
    <x v="1"/>
    <x v="2"/>
    <x v="94"/>
    <x v="249"/>
    <x v="172"/>
    <x v="309"/>
    <x v="54"/>
    <x v="71"/>
    <x v="1"/>
  </r>
  <r>
    <x v="0"/>
    <x v="46"/>
    <x v="46"/>
    <x v="4"/>
    <x v="4"/>
    <x v="4"/>
    <x v="3"/>
    <x v="101"/>
    <x v="241"/>
    <x v="55"/>
    <x v="4"/>
    <x v="180"/>
    <x v="362"/>
    <x v="1"/>
  </r>
  <r>
    <x v="0"/>
    <x v="46"/>
    <x v="46"/>
    <x v="2"/>
    <x v="2"/>
    <x v="2"/>
    <x v="3"/>
    <x v="101"/>
    <x v="241"/>
    <x v="106"/>
    <x v="502"/>
    <x v="61"/>
    <x v="135"/>
    <x v="1"/>
  </r>
  <r>
    <x v="0"/>
    <x v="46"/>
    <x v="46"/>
    <x v="9"/>
    <x v="9"/>
    <x v="9"/>
    <x v="5"/>
    <x v="102"/>
    <x v="215"/>
    <x v="119"/>
    <x v="487"/>
    <x v="61"/>
    <x v="135"/>
    <x v="1"/>
  </r>
  <r>
    <x v="0"/>
    <x v="46"/>
    <x v="46"/>
    <x v="38"/>
    <x v="38"/>
    <x v="38"/>
    <x v="6"/>
    <x v="123"/>
    <x v="236"/>
    <x v="74"/>
    <x v="503"/>
    <x v="92"/>
    <x v="229"/>
    <x v="1"/>
  </r>
  <r>
    <x v="0"/>
    <x v="46"/>
    <x v="46"/>
    <x v="8"/>
    <x v="8"/>
    <x v="8"/>
    <x v="7"/>
    <x v="69"/>
    <x v="164"/>
    <x v="92"/>
    <x v="298"/>
    <x v="46"/>
    <x v="109"/>
    <x v="1"/>
  </r>
  <r>
    <x v="0"/>
    <x v="46"/>
    <x v="46"/>
    <x v="5"/>
    <x v="5"/>
    <x v="5"/>
    <x v="7"/>
    <x v="69"/>
    <x v="164"/>
    <x v="72"/>
    <x v="504"/>
    <x v="44"/>
    <x v="107"/>
    <x v="1"/>
  </r>
  <r>
    <x v="0"/>
    <x v="46"/>
    <x v="46"/>
    <x v="7"/>
    <x v="7"/>
    <x v="7"/>
    <x v="9"/>
    <x v="66"/>
    <x v="280"/>
    <x v="99"/>
    <x v="210"/>
    <x v="73"/>
    <x v="72"/>
    <x v="1"/>
  </r>
  <r>
    <x v="0"/>
    <x v="46"/>
    <x v="46"/>
    <x v="12"/>
    <x v="12"/>
    <x v="12"/>
    <x v="10"/>
    <x v="58"/>
    <x v="90"/>
    <x v="75"/>
    <x v="76"/>
    <x v="68"/>
    <x v="58"/>
    <x v="6"/>
  </r>
  <r>
    <x v="0"/>
    <x v="46"/>
    <x v="46"/>
    <x v="63"/>
    <x v="63"/>
    <x v="63"/>
    <x v="11"/>
    <x v="70"/>
    <x v="147"/>
    <x v="54"/>
    <x v="479"/>
    <x v="54"/>
    <x v="71"/>
    <x v="1"/>
  </r>
  <r>
    <x v="0"/>
    <x v="46"/>
    <x v="46"/>
    <x v="6"/>
    <x v="6"/>
    <x v="6"/>
    <x v="12"/>
    <x v="107"/>
    <x v="99"/>
    <x v="104"/>
    <x v="505"/>
    <x v="66"/>
    <x v="118"/>
    <x v="1"/>
  </r>
  <r>
    <x v="0"/>
    <x v="46"/>
    <x v="46"/>
    <x v="47"/>
    <x v="47"/>
    <x v="47"/>
    <x v="13"/>
    <x v="73"/>
    <x v="138"/>
    <x v="54"/>
    <x v="479"/>
    <x v="63"/>
    <x v="3"/>
    <x v="1"/>
  </r>
  <r>
    <x v="0"/>
    <x v="46"/>
    <x v="46"/>
    <x v="19"/>
    <x v="19"/>
    <x v="19"/>
    <x v="14"/>
    <x v="74"/>
    <x v="15"/>
    <x v="50"/>
    <x v="441"/>
    <x v="55"/>
    <x v="179"/>
    <x v="1"/>
  </r>
  <r>
    <x v="0"/>
    <x v="46"/>
    <x v="46"/>
    <x v="15"/>
    <x v="15"/>
    <x v="15"/>
    <x v="15"/>
    <x v="108"/>
    <x v="68"/>
    <x v="59"/>
    <x v="84"/>
    <x v="52"/>
    <x v="363"/>
    <x v="1"/>
  </r>
  <r>
    <x v="0"/>
    <x v="46"/>
    <x v="46"/>
    <x v="16"/>
    <x v="16"/>
    <x v="16"/>
    <x v="16"/>
    <x v="75"/>
    <x v="18"/>
    <x v="75"/>
    <x v="76"/>
    <x v="41"/>
    <x v="185"/>
    <x v="1"/>
  </r>
  <r>
    <x v="0"/>
    <x v="46"/>
    <x v="46"/>
    <x v="14"/>
    <x v="14"/>
    <x v="14"/>
    <x v="16"/>
    <x v="75"/>
    <x v="18"/>
    <x v="51"/>
    <x v="186"/>
    <x v="67"/>
    <x v="285"/>
    <x v="6"/>
  </r>
  <r>
    <x v="0"/>
    <x v="46"/>
    <x v="46"/>
    <x v="20"/>
    <x v="20"/>
    <x v="20"/>
    <x v="16"/>
    <x v="75"/>
    <x v="18"/>
    <x v="68"/>
    <x v="245"/>
    <x v="52"/>
    <x v="363"/>
    <x v="1"/>
  </r>
  <r>
    <x v="0"/>
    <x v="46"/>
    <x v="46"/>
    <x v="45"/>
    <x v="45"/>
    <x v="45"/>
    <x v="16"/>
    <x v="75"/>
    <x v="18"/>
    <x v="51"/>
    <x v="186"/>
    <x v="72"/>
    <x v="99"/>
    <x v="1"/>
  </r>
  <r>
    <x v="0"/>
    <x v="47"/>
    <x v="47"/>
    <x v="1"/>
    <x v="1"/>
    <x v="1"/>
    <x v="0"/>
    <x v="283"/>
    <x v="308"/>
    <x v="217"/>
    <x v="506"/>
    <x v="76"/>
    <x v="217"/>
    <x v="1"/>
  </r>
  <r>
    <x v="0"/>
    <x v="47"/>
    <x v="47"/>
    <x v="0"/>
    <x v="0"/>
    <x v="0"/>
    <x v="1"/>
    <x v="284"/>
    <x v="69"/>
    <x v="42"/>
    <x v="507"/>
    <x v="196"/>
    <x v="364"/>
    <x v="1"/>
  </r>
  <r>
    <x v="0"/>
    <x v="47"/>
    <x v="47"/>
    <x v="3"/>
    <x v="3"/>
    <x v="3"/>
    <x v="2"/>
    <x v="171"/>
    <x v="297"/>
    <x v="163"/>
    <x v="508"/>
    <x v="44"/>
    <x v="7"/>
    <x v="1"/>
  </r>
  <r>
    <x v="0"/>
    <x v="47"/>
    <x v="47"/>
    <x v="7"/>
    <x v="7"/>
    <x v="7"/>
    <x v="3"/>
    <x v="227"/>
    <x v="309"/>
    <x v="218"/>
    <x v="509"/>
    <x v="66"/>
    <x v="365"/>
    <x v="1"/>
  </r>
  <r>
    <x v="0"/>
    <x v="47"/>
    <x v="47"/>
    <x v="5"/>
    <x v="5"/>
    <x v="5"/>
    <x v="4"/>
    <x v="256"/>
    <x v="83"/>
    <x v="195"/>
    <x v="510"/>
    <x v="61"/>
    <x v="65"/>
    <x v="1"/>
  </r>
  <r>
    <x v="0"/>
    <x v="47"/>
    <x v="47"/>
    <x v="2"/>
    <x v="2"/>
    <x v="2"/>
    <x v="5"/>
    <x v="88"/>
    <x v="221"/>
    <x v="134"/>
    <x v="293"/>
    <x v="75"/>
    <x v="135"/>
    <x v="6"/>
  </r>
  <r>
    <x v="0"/>
    <x v="47"/>
    <x v="47"/>
    <x v="4"/>
    <x v="4"/>
    <x v="4"/>
    <x v="6"/>
    <x v="146"/>
    <x v="4"/>
    <x v="107"/>
    <x v="381"/>
    <x v="197"/>
    <x v="366"/>
    <x v="1"/>
  </r>
  <r>
    <x v="0"/>
    <x v="47"/>
    <x v="47"/>
    <x v="6"/>
    <x v="6"/>
    <x v="6"/>
    <x v="7"/>
    <x v="42"/>
    <x v="85"/>
    <x v="215"/>
    <x v="448"/>
    <x v="64"/>
    <x v="163"/>
    <x v="1"/>
  </r>
  <r>
    <x v="0"/>
    <x v="47"/>
    <x v="47"/>
    <x v="10"/>
    <x v="10"/>
    <x v="10"/>
    <x v="8"/>
    <x v="121"/>
    <x v="87"/>
    <x v="207"/>
    <x v="11"/>
    <x v="76"/>
    <x v="217"/>
    <x v="1"/>
  </r>
  <r>
    <x v="0"/>
    <x v="47"/>
    <x v="47"/>
    <x v="9"/>
    <x v="9"/>
    <x v="9"/>
    <x v="9"/>
    <x v="247"/>
    <x v="118"/>
    <x v="112"/>
    <x v="511"/>
    <x v="76"/>
    <x v="217"/>
    <x v="6"/>
  </r>
  <r>
    <x v="0"/>
    <x v="47"/>
    <x v="47"/>
    <x v="8"/>
    <x v="8"/>
    <x v="8"/>
    <x v="10"/>
    <x v="113"/>
    <x v="77"/>
    <x v="112"/>
    <x v="511"/>
    <x v="64"/>
    <x v="163"/>
    <x v="1"/>
  </r>
  <r>
    <x v="0"/>
    <x v="47"/>
    <x v="47"/>
    <x v="15"/>
    <x v="15"/>
    <x v="15"/>
    <x v="11"/>
    <x v="62"/>
    <x v="156"/>
    <x v="86"/>
    <x v="181"/>
    <x v="99"/>
    <x v="367"/>
    <x v="1"/>
  </r>
  <r>
    <x v="0"/>
    <x v="47"/>
    <x v="47"/>
    <x v="24"/>
    <x v="24"/>
    <x v="24"/>
    <x v="12"/>
    <x v="157"/>
    <x v="209"/>
    <x v="97"/>
    <x v="153"/>
    <x v="62"/>
    <x v="128"/>
    <x v="1"/>
  </r>
  <r>
    <x v="0"/>
    <x v="47"/>
    <x v="47"/>
    <x v="14"/>
    <x v="14"/>
    <x v="14"/>
    <x v="13"/>
    <x v="64"/>
    <x v="30"/>
    <x v="69"/>
    <x v="132"/>
    <x v="43"/>
    <x v="312"/>
    <x v="1"/>
  </r>
  <r>
    <x v="0"/>
    <x v="47"/>
    <x v="47"/>
    <x v="63"/>
    <x v="63"/>
    <x v="63"/>
    <x v="14"/>
    <x v="117"/>
    <x v="50"/>
    <x v="58"/>
    <x v="151"/>
    <x v="58"/>
    <x v="54"/>
    <x v="1"/>
  </r>
  <r>
    <x v="0"/>
    <x v="47"/>
    <x v="47"/>
    <x v="12"/>
    <x v="12"/>
    <x v="12"/>
    <x v="15"/>
    <x v="118"/>
    <x v="65"/>
    <x v="82"/>
    <x v="441"/>
    <x v="86"/>
    <x v="231"/>
    <x v="1"/>
  </r>
  <r>
    <x v="0"/>
    <x v="47"/>
    <x v="47"/>
    <x v="16"/>
    <x v="16"/>
    <x v="16"/>
    <x v="16"/>
    <x v="145"/>
    <x v="148"/>
    <x v="86"/>
    <x v="181"/>
    <x v="113"/>
    <x v="282"/>
    <x v="1"/>
  </r>
  <r>
    <x v="0"/>
    <x v="47"/>
    <x v="47"/>
    <x v="13"/>
    <x v="13"/>
    <x v="13"/>
    <x v="16"/>
    <x v="145"/>
    <x v="148"/>
    <x v="46"/>
    <x v="512"/>
    <x v="106"/>
    <x v="252"/>
    <x v="1"/>
  </r>
  <r>
    <x v="0"/>
    <x v="47"/>
    <x v="47"/>
    <x v="31"/>
    <x v="31"/>
    <x v="31"/>
    <x v="18"/>
    <x v="48"/>
    <x v="138"/>
    <x v="99"/>
    <x v="345"/>
    <x v="54"/>
    <x v="308"/>
    <x v="1"/>
  </r>
  <r>
    <x v="0"/>
    <x v="47"/>
    <x v="47"/>
    <x v="47"/>
    <x v="47"/>
    <x v="47"/>
    <x v="19"/>
    <x v="49"/>
    <x v="109"/>
    <x v="76"/>
    <x v="513"/>
    <x v="64"/>
    <x v="163"/>
    <x v="1"/>
  </r>
  <r>
    <x v="0"/>
    <x v="48"/>
    <x v="48"/>
    <x v="1"/>
    <x v="1"/>
    <x v="1"/>
    <x v="0"/>
    <x v="98"/>
    <x v="310"/>
    <x v="191"/>
    <x v="514"/>
    <x v="72"/>
    <x v="114"/>
    <x v="1"/>
  </r>
  <r>
    <x v="0"/>
    <x v="48"/>
    <x v="48"/>
    <x v="0"/>
    <x v="0"/>
    <x v="0"/>
    <x v="1"/>
    <x v="93"/>
    <x v="311"/>
    <x v="78"/>
    <x v="308"/>
    <x v="175"/>
    <x v="368"/>
    <x v="1"/>
  </r>
  <r>
    <x v="0"/>
    <x v="48"/>
    <x v="48"/>
    <x v="9"/>
    <x v="9"/>
    <x v="9"/>
    <x v="2"/>
    <x v="145"/>
    <x v="141"/>
    <x v="78"/>
    <x v="308"/>
    <x v="54"/>
    <x v="146"/>
    <x v="1"/>
  </r>
  <r>
    <x v="0"/>
    <x v="48"/>
    <x v="48"/>
    <x v="2"/>
    <x v="2"/>
    <x v="2"/>
    <x v="3"/>
    <x v="132"/>
    <x v="123"/>
    <x v="120"/>
    <x v="5"/>
    <x v="54"/>
    <x v="146"/>
    <x v="1"/>
  </r>
  <r>
    <x v="0"/>
    <x v="48"/>
    <x v="48"/>
    <x v="10"/>
    <x v="10"/>
    <x v="10"/>
    <x v="4"/>
    <x v="49"/>
    <x v="72"/>
    <x v="110"/>
    <x v="303"/>
    <x v="43"/>
    <x v="363"/>
    <x v="1"/>
  </r>
  <r>
    <x v="0"/>
    <x v="48"/>
    <x v="48"/>
    <x v="5"/>
    <x v="5"/>
    <x v="5"/>
    <x v="5"/>
    <x v="124"/>
    <x v="221"/>
    <x v="94"/>
    <x v="515"/>
    <x v="66"/>
    <x v="51"/>
    <x v="1"/>
  </r>
  <r>
    <x v="0"/>
    <x v="48"/>
    <x v="48"/>
    <x v="8"/>
    <x v="8"/>
    <x v="8"/>
    <x v="6"/>
    <x v="66"/>
    <x v="59"/>
    <x v="102"/>
    <x v="516"/>
    <x v="54"/>
    <x v="146"/>
    <x v="1"/>
  </r>
  <r>
    <x v="0"/>
    <x v="48"/>
    <x v="48"/>
    <x v="38"/>
    <x v="38"/>
    <x v="38"/>
    <x v="7"/>
    <x v="52"/>
    <x v="312"/>
    <x v="55"/>
    <x v="433"/>
    <x v="119"/>
    <x v="369"/>
    <x v="1"/>
  </r>
  <r>
    <x v="0"/>
    <x v="48"/>
    <x v="48"/>
    <x v="63"/>
    <x v="63"/>
    <x v="63"/>
    <x v="8"/>
    <x v="70"/>
    <x v="62"/>
    <x v="54"/>
    <x v="335"/>
    <x v="54"/>
    <x v="146"/>
    <x v="1"/>
  </r>
  <r>
    <x v="0"/>
    <x v="48"/>
    <x v="48"/>
    <x v="14"/>
    <x v="14"/>
    <x v="14"/>
    <x v="9"/>
    <x v="71"/>
    <x v="47"/>
    <x v="73"/>
    <x v="470"/>
    <x v="61"/>
    <x v="28"/>
    <x v="1"/>
  </r>
  <r>
    <x v="0"/>
    <x v="48"/>
    <x v="48"/>
    <x v="4"/>
    <x v="4"/>
    <x v="4"/>
    <x v="9"/>
    <x v="71"/>
    <x v="47"/>
    <x v="53"/>
    <x v="397"/>
    <x v="68"/>
    <x v="370"/>
    <x v="1"/>
  </r>
  <r>
    <x v="0"/>
    <x v="48"/>
    <x v="48"/>
    <x v="7"/>
    <x v="7"/>
    <x v="7"/>
    <x v="11"/>
    <x v="103"/>
    <x v="165"/>
    <x v="114"/>
    <x v="490"/>
    <x v="66"/>
    <x v="51"/>
    <x v="1"/>
  </r>
  <r>
    <x v="0"/>
    <x v="48"/>
    <x v="48"/>
    <x v="47"/>
    <x v="47"/>
    <x v="47"/>
    <x v="12"/>
    <x v="107"/>
    <x v="166"/>
    <x v="79"/>
    <x v="418"/>
    <x v="63"/>
    <x v="171"/>
    <x v="1"/>
  </r>
  <r>
    <x v="0"/>
    <x v="48"/>
    <x v="48"/>
    <x v="44"/>
    <x v="44"/>
    <x v="44"/>
    <x v="13"/>
    <x v="104"/>
    <x v="216"/>
    <x v="107"/>
    <x v="412"/>
    <x v="54"/>
    <x v="146"/>
    <x v="1"/>
  </r>
  <r>
    <x v="0"/>
    <x v="48"/>
    <x v="48"/>
    <x v="16"/>
    <x v="16"/>
    <x v="16"/>
    <x v="14"/>
    <x v="108"/>
    <x v="135"/>
    <x v="68"/>
    <x v="73"/>
    <x v="41"/>
    <x v="155"/>
    <x v="1"/>
  </r>
  <r>
    <x v="0"/>
    <x v="48"/>
    <x v="48"/>
    <x v="31"/>
    <x v="31"/>
    <x v="31"/>
    <x v="14"/>
    <x v="108"/>
    <x v="135"/>
    <x v="81"/>
    <x v="517"/>
    <x v="44"/>
    <x v="153"/>
    <x v="1"/>
  </r>
  <r>
    <x v="0"/>
    <x v="48"/>
    <x v="48"/>
    <x v="3"/>
    <x v="3"/>
    <x v="3"/>
    <x v="14"/>
    <x v="108"/>
    <x v="135"/>
    <x v="96"/>
    <x v="464"/>
    <x v="66"/>
    <x v="51"/>
    <x v="1"/>
  </r>
  <r>
    <x v="0"/>
    <x v="48"/>
    <x v="48"/>
    <x v="15"/>
    <x v="15"/>
    <x v="15"/>
    <x v="17"/>
    <x v="75"/>
    <x v="51"/>
    <x v="68"/>
    <x v="73"/>
    <x v="52"/>
    <x v="144"/>
    <x v="1"/>
  </r>
  <r>
    <x v="0"/>
    <x v="48"/>
    <x v="48"/>
    <x v="18"/>
    <x v="18"/>
    <x v="18"/>
    <x v="17"/>
    <x v="75"/>
    <x v="51"/>
    <x v="46"/>
    <x v="62"/>
    <x v="61"/>
    <x v="28"/>
    <x v="1"/>
  </r>
  <r>
    <x v="0"/>
    <x v="48"/>
    <x v="48"/>
    <x v="23"/>
    <x v="23"/>
    <x v="23"/>
    <x v="19"/>
    <x v="233"/>
    <x v="148"/>
    <x v="83"/>
    <x v="231"/>
    <x v="74"/>
    <x v="35"/>
    <x v="1"/>
  </r>
  <r>
    <x v="0"/>
    <x v="49"/>
    <x v="49"/>
    <x v="0"/>
    <x v="0"/>
    <x v="0"/>
    <x v="0"/>
    <x v="41"/>
    <x v="313"/>
    <x v="100"/>
    <x v="17"/>
    <x v="198"/>
    <x v="371"/>
    <x v="1"/>
  </r>
  <r>
    <x v="0"/>
    <x v="49"/>
    <x v="49"/>
    <x v="1"/>
    <x v="1"/>
    <x v="1"/>
    <x v="1"/>
    <x v="142"/>
    <x v="314"/>
    <x v="63"/>
    <x v="334"/>
    <x v="46"/>
    <x v="98"/>
    <x v="1"/>
  </r>
  <r>
    <x v="0"/>
    <x v="49"/>
    <x v="49"/>
    <x v="10"/>
    <x v="10"/>
    <x v="10"/>
    <x v="2"/>
    <x v="257"/>
    <x v="315"/>
    <x v="127"/>
    <x v="42"/>
    <x v="76"/>
    <x v="270"/>
    <x v="1"/>
  </r>
  <r>
    <x v="0"/>
    <x v="49"/>
    <x v="49"/>
    <x v="4"/>
    <x v="4"/>
    <x v="4"/>
    <x v="3"/>
    <x v="232"/>
    <x v="101"/>
    <x v="60"/>
    <x v="512"/>
    <x v="57"/>
    <x v="372"/>
    <x v="1"/>
  </r>
  <r>
    <x v="0"/>
    <x v="49"/>
    <x v="49"/>
    <x v="5"/>
    <x v="5"/>
    <x v="5"/>
    <x v="4"/>
    <x v="113"/>
    <x v="204"/>
    <x v="152"/>
    <x v="413"/>
    <x v="63"/>
    <x v="26"/>
    <x v="1"/>
  </r>
  <r>
    <x v="0"/>
    <x v="49"/>
    <x v="49"/>
    <x v="2"/>
    <x v="2"/>
    <x v="2"/>
    <x v="5"/>
    <x v="136"/>
    <x v="58"/>
    <x v="44"/>
    <x v="425"/>
    <x v="46"/>
    <x v="98"/>
    <x v="1"/>
  </r>
  <r>
    <x v="0"/>
    <x v="49"/>
    <x v="49"/>
    <x v="3"/>
    <x v="3"/>
    <x v="3"/>
    <x v="6"/>
    <x v="138"/>
    <x v="105"/>
    <x v="65"/>
    <x v="518"/>
    <x v="46"/>
    <x v="98"/>
    <x v="1"/>
  </r>
  <r>
    <x v="0"/>
    <x v="49"/>
    <x v="49"/>
    <x v="7"/>
    <x v="7"/>
    <x v="7"/>
    <x v="7"/>
    <x v="145"/>
    <x v="46"/>
    <x v="77"/>
    <x v="150"/>
    <x v="66"/>
    <x v="236"/>
    <x v="1"/>
  </r>
  <r>
    <x v="0"/>
    <x v="49"/>
    <x v="49"/>
    <x v="8"/>
    <x v="8"/>
    <x v="8"/>
    <x v="8"/>
    <x v="132"/>
    <x v="107"/>
    <x v="101"/>
    <x v="519"/>
    <x v="59"/>
    <x v="373"/>
    <x v="1"/>
  </r>
  <r>
    <x v="0"/>
    <x v="49"/>
    <x v="49"/>
    <x v="63"/>
    <x v="63"/>
    <x v="63"/>
    <x v="9"/>
    <x v="123"/>
    <x v="89"/>
    <x v="56"/>
    <x v="349"/>
    <x v="55"/>
    <x v="147"/>
    <x v="1"/>
  </r>
  <r>
    <x v="0"/>
    <x v="49"/>
    <x v="49"/>
    <x v="15"/>
    <x v="15"/>
    <x v="15"/>
    <x v="10"/>
    <x v="119"/>
    <x v="200"/>
    <x v="67"/>
    <x v="26"/>
    <x v="65"/>
    <x v="266"/>
    <x v="1"/>
  </r>
  <r>
    <x v="0"/>
    <x v="49"/>
    <x v="49"/>
    <x v="6"/>
    <x v="6"/>
    <x v="6"/>
    <x v="11"/>
    <x v="50"/>
    <x v="155"/>
    <x v="94"/>
    <x v="490"/>
    <x v="56"/>
    <x v="143"/>
    <x v="1"/>
  </r>
  <r>
    <x v="0"/>
    <x v="49"/>
    <x v="49"/>
    <x v="9"/>
    <x v="9"/>
    <x v="9"/>
    <x v="11"/>
    <x v="50"/>
    <x v="155"/>
    <x v="110"/>
    <x v="470"/>
    <x v="69"/>
    <x v="99"/>
    <x v="1"/>
  </r>
  <r>
    <x v="0"/>
    <x v="49"/>
    <x v="49"/>
    <x v="16"/>
    <x v="16"/>
    <x v="16"/>
    <x v="13"/>
    <x v="53"/>
    <x v="135"/>
    <x v="71"/>
    <x v="57"/>
    <x v="119"/>
    <x v="374"/>
    <x v="1"/>
  </r>
  <r>
    <x v="0"/>
    <x v="49"/>
    <x v="49"/>
    <x v="12"/>
    <x v="12"/>
    <x v="12"/>
    <x v="14"/>
    <x v="106"/>
    <x v="67"/>
    <x v="75"/>
    <x v="272"/>
    <x v="107"/>
    <x v="174"/>
    <x v="1"/>
  </r>
  <r>
    <x v="0"/>
    <x v="49"/>
    <x v="49"/>
    <x v="59"/>
    <x v="59"/>
    <x v="59"/>
    <x v="15"/>
    <x v="67"/>
    <x v="15"/>
    <x v="71"/>
    <x v="57"/>
    <x v="49"/>
    <x v="375"/>
    <x v="1"/>
  </r>
  <r>
    <x v="0"/>
    <x v="49"/>
    <x v="49"/>
    <x v="13"/>
    <x v="13"/>
    <x v="13"/>
    <x v="15"/>
    <x v="67"/>
    <x v="15"/>
    <x v="55"/>
    <x v="295"/>
    <x v="70"/>
    <x v="111"/>
    <x v="1"/>
  </r>
  <r>
    <x v="0"/>
    <x v="49"/>
    <x v="49"/>
    <x v="38"/>
    <x v="38"/>
    <x v="38"/>
    <x v="17"/>
    <x v="58"/>
    <x v="17"/>
    <x v="60"/>
    <x v="512"/>
    <x v="55"/>
    <x v="147"/>
    <x v="1"/>
  </r>
  <r>
    <x v="0"/>
    <x v="49"/>
    <x v="49"/>
    <x v="24"/>
    <x v="24"/>
    <x v="24"/>
    <x v="17"/>
    <x v="58"/>
    <x v="17"/>
    <x v="75"/>
    <x v="272"/>
    <x v="71"/>
    <x v="105"/>
    <x v="1"/>
  </r>
  <r>
    <x v="0"/>
    <x v="49"/>
    <x v="49"/>
    <x v="40"/>
    <x v="40"/>
    <x v="40"/>
    <x v="17"/>
    <x v="58"/>
    <x v="17"/>
    <x v="46"/>
    <x v="236"/>
    <x v="41"/>
    <x v="232"/>
    <x v="1"/>
  </r>
  <r>
    <x v="0"/>
    <x v="50"/>
    <x v="50"/>
    <x v="0"/>
    <x v="0"/>
    <x v="0"/>
    <x v="0"/>
    <x v="253"/>
    <x v="316"/>
    <x v="143"/>
    <x v="520"/>
    <x v="197"/>
    <x v="376"/>
    <x v="1"/>
  </r>
  <r>
    <x v="0"/>
    <x v="50"/>
    <x v="50"/>
    <x v="4"/>
    <x v="4"/>
    <x v="4"/>
    <x v="1"/>
    <x v="148"/>
    <x v="297"/>
    <x v="73"/>
    <x v="72"/>
    <x v="169"/>
    <x v="377"/>
    <x v="1"/>
  </r>
  <r>
    <x v="0"/>
    <x v="50"/>
    <x v="50"/>
    <x v="1"/>
    <x v="1"/>
    <x v="1"/>
    <x v="2"/>
    <x v="95"/>
    <x v="94"/>
    <x v="172"/>
    <x v="468"/>
    <x v="74"/>
    <x v="237"/>
    <x v="1"/>
  </r>
  <r>
    <x v="0"/>
    <x v="50"/>
    <x v="50"/>
    <x v="10"/>
    <x v="10"/>
    <x v="10"/>
    <x v="3"/>
    <x v="113"/>
    <x v="219"/>
    <x v="108"/>
    <x v="255"/>
    <x v="48"/>
    <x v="219"/>
    <x v="1"/>
  </r>
  <r>
    <x v="0"/>
    <x v="50"/>
    <x v="50"/>
    <x v="3"/>
    <x v="3"/>
    <x v="3"/>
    <x v="4"/>
    <x v="114"/>
    <x v="204"/>
    <x v="93"/>
    <x v="521"/>
    <x v="66"/>
    <x v="236"/>
    <x v="1"/>
  </r>
  <r>
    <x v="0"/>
    <x v="50"/>
    <x v="50"/>
    <x v="7"/>
    <x v="7"/>
    <x v="7"/>
    <x v="5"/>
    <x v="46"/>
    <x v="212"/>
    <x v="98"/>
    <x v="41"/>
    <x v="56"/>
    <x v="7"/>
    <x v="1"/>
  </r>
  <r>
    <x v="0"/>
    <x v="50"/>
    <x v="50"/>
    <x v="2"/>
    <x v="2"/>
    <x v="2"/>
    <x v="6"/>
    <x v="117"/>
    <x v="266"/>
    <x v="122"/>
    <x v="522"/>
    <x v="69"/>
    <x v="163"/>
    <x v="1"/>
  </r>
  <r>
    <x v="0"/>
    <x v="50"/>
    <x v="50"/>
    <x v="5"/>
    <x v="5"/>
    <x v="5"/>
    <x v="7"/>
    <x v="65"/>
    <x v="206"/>
    <x v="95"/>
    <x v="280"/>
    <x v="44"/>
    <x v="181"/>
    <x v="1"/>
  </r>
  <r>
    <x v="0"/>
    <x v="50"/>
    <x v="50"/>
    <x v="8"/>
    <x v="8"/>
    <x v="8"/>
    <x v="8"/>
    <x v="124"/>
    <x v="28"/>
    <x v="58"/>
    <x v="523"/>
    <x v="43"/>
    <x v="112"/>
    <x v="1"/>
  </r>
  <r>
    <x v="0"/>
    <x v="50"/>
    <x v="50"/>
    <x v="40"/>
    <x v="40"/>
    <x v="40"/>
    <x v="9"/>
    <x v="69"/>
    <x v="89"/>
    <x v="60"/>
    <x v="136"/>
    <x v="105"/>
    <x v="82"/>
    <x v="1"/>
  </r>
  <r>
    <x v="0"/>
    <x v="50"/>
    <x v="50"/>
    <x v="12"/>
    <x v="12"/>
    <x v="12"/>
    <x v="9"/>
    <x v="69"/>
    <x v="89"/>
    <x v="68"/>
    <x v="126"/>
    <x v="176"/>
    <x v="357"/>
    <x v="1"/>
  </r>
  <r>
    <x v="0"/>
    <x v="50"/>
    <x v="50"/>
    <x v="16"/>
    <x v="16"/>
    <x v="16"/>
    <x v="11"/>
    <x v="53"/>
    <x v="79"/>
    <x v="71"/>
    <x v="458"/>
    <x v="119"/>
    <x v="345"/>
    <x v="1"/>
  </r>
  <r>
    <x v="0"/>
    <x v="50"/>
    <x v="50"/>
    <x v="15"/>
    <x v="15"/>
    <x v="15"/>
    <x v="11"/>
    <x v="53"/>
    <x v="79"/>
    <x v="67"/>
    <x v="524"/>
    <x v="70"/>
    <x v="92"/>
    <x v="1"/>
  </r>
  <r>
    <x v="0"/>
    <x v="50"/>
    <x v="50"/>
    <x v="63"/>
    <x v="63"/>
    <x v="63"/>
    <x v="13"/>
    <x v="54"/>
    <x v="120"/>
    <x v="79"/>
    <x v="183"/>
    <x v="64"/>
    <x v="182"/>
    <x v="1"/>
  </r>
  <r>
    <x v="0"/>
    <x v="50"/>
    <x v="50"/>
    <x v="6"/>
    <x v="6"/>
    <x v="6"/>
    <x v="14"/>
    <x v="58"/>
    <x v="80"/>
    <x v="113"/>
    <x v="464"/>
    <x v="63"/>
    <x v="26"/>
    <x v="1"/>
  </r>
  <r>
    <x v="0"/>
    <x v="50"/>
    <x v="50"/>
    <x v="9"/>
    <x v="9"/>
    <x v="9"/>
    <x v="15"/>
    <x v="71"/>
    <x v="36"/>
    <x v="52"/>
    <x v="525"/>
    <x v="48"/>
    <x v="219"/>
    <x v="1"/>
  </r>
  <r>
    <x v="0"/>
    <x v="50"/>
    <x v="50"/>
    <x v="13"/>
    <x v="13"/>
    <x v="13"/>
    <x v="16"/>
    <x v="68"/>
    <x v="15"/>
    <x v="82"/>
    <x v="297"/>
    <x v="68"/>
    <x v="134"/>
    <x v="1"/>
  </r>
  <r>
    <x v="0"/>
    <x v="50"/>
    <x v="50"/>
    <x v="59"/>
    <x v="59"/>
    <x v="59"/>
    <x v="17"/>
    <x v="103"/>
    <x v="250"/>
    <x v="59"/>
    <x v="30"/>
    <x v="55"/>
    <x v="378"/>
    <x v="1"/>
  </r>
  <r>
    <x v="0"/>
    <x v="50"/>
    <x v="50"/>
    <x v="45"/>
    <x v="45"/>
    <x v="45"/>
    <x v="17"/>
    <x v="103"/>
    <x v="250"/>
    <x v="97"/>
    <x v="50"/>
    <x v="54"/>
    <x v="235"/>
    <x v="1"/>
  </r>
  <r>
    <x v="0"/>
    <x v="50"/>
    <x v="50"/>
    <x v="14"/>
    <x v="14"/>
    <x v="14"/>
    <x v="19"/>
    <x v="107"/>
    <x v="128"/>
    <x v="64"/>
    <x v="526"/>
    <x v="54"/>
    <x v="235"/>
    <x v="1"/>
  </r>
  <r>
    <x v="0"/>
    <x v="51"/>
    <x v="51"/>
    <x v="1"/>
    <x v="1"/>
    <x v="1"/>
    <x v="0"/>
    <x v="285"/>
    <x v="317"/>
    <x v="218"/>
    <x v="527"/>
    <x v="54"/>
    <x v="56"/>
    <x v="1"/>
  </r>
  <r>
    <x v="0"/>
    <x v="51"/>
    <x v="51"/>
    <x v="0"/>
    <x v="0"/>
    <x v="0"/>
    <x v="1"/>
    <x v="165"/>
    <x v="318"/>
    <x v="47"/>
    <x v="492"/>
    <x v="199"/>
    <x v="379"/>
    <x v="1"/>
  </r>
  <r>
    <x v="0"/>
    <x v="51"/>
    <x v="51"/>
    <x v="2"/>
    <x v="2"/>
    <x v="2"/>
    <x v="2"/>
    <x v="230"/>
    <x v="72"/>
    <x v="33"/>
    <x v="264"/>
    <x v="69"/>
    <x v="157"/>
    <x v="1"/>
  </r>
  <r>
    <x v="0"/>
    <x v="51"/>
    <x v="51"/>
    <x v="9"/>
    <x v="9"/>
    <x v="9"/>
    <x v="3"/>
    <x v="92"/>
    <x v="151"/>
    <x v="172"/>
    <x v="318"/>
    <x v="50"/>
    <x v="245"/>
    <x v="6"/>
  </r>
  <r>
    <x v="0"/>
    <x v="51"/>
    <x v="51"/>
    <x v="7"/>
    <x v="7"/>
    <x v="7"/>
    <x v="4"/>
    <x v="232"/>
    <x v="2"/>
    <x v="160"/>
    <x v="528"/>
    <x v="56"/>
    <x v="33"/>
    <x v="1"/>
  </r>
  <r>
    <x v="0"/>
    <x v="51"/>
    <x v="51"/>
    <x v="63"/>
    <x v="63"/>
    <x v="63"/>
    <x v="5"/>
    <x v="93"/>
    <x v="96"/>
    <x v="77"/>
    <x v="242"/>
    <x v="65"/>
    <x v="63"/>
    <x v="1"/>
  </r>
  <r>
    <x v="0"/>
    <x v="51"/>
    <x v="51"/>
    <x v="10"/>
    <x v="10"/>
    <x v="10"/>
    <x v="6"/>
    <x v="148"/>
    <x v="236"/>
    <x v="207"/>
    <x v="150"/>
    <x v="64"/>
    <x v="62"/>
    <x v="1"/>
  </r>
  <r>
    <x v="0"/>
    <x v="51"/>
    <x v="51"/>
    <x v="8"/>
    <x v="8"/>
    <x v="8"/>
    <x v="7"/>
    <x v="97"/>
    <x v="164"/>
    <x v="61"/>
    <x v="471"/>
    <x v="97"/>
    <x v="347"/>
    <x v="1"/>
  </r>
  <r>
    <x v="0"/>
    <x v="51"/>
    <x v="51"/>
    <x v="3"/>
    <x v="3"/>
    <x v="3"/>
    <x v="8"/>
    <x v="99"/>
    <x v="306"/>
    <x v="207"/>
    <x v="150"/>
    <x v="44"/>
    <x v="61"/>
    <x v="1"/>
  </r>
  <r>
    <x v="0"/>
    <x v="51"/>
    <x v="51"/>
    <x v="5"/>
    <x v="5"/>
    <x v="5"/>
    <x v="9"/>
    <x v="45"/>
    <x v="145"/>
    <x v="44"/>
    <x v="529"/>
    <x v="56"/>
    <x v="33"/>
    <x v="1"/>
  </r>
  <r>
    <x v="0"/>
    <x v="51"/>
    <x v="51"/>
    <x v="38"/>
    <x v="38"/>
    <x v="38"/>
    <x v="10"/>
    <x v="62"/>
    <x v="26"/>
    <x v="86"/>
    <x v="205"/>
    <x v="99"/>
    <x v="323"/>
    <x v="1"/>
  </r>
  <r>
    <x v="0"/>
    <x v="51"/>
    <x v="51"/>
    <x v="4"/>
    <x v="4"/>
    <x v="4"/>
    <x v="11"/>
    <x v="115"/>
    <x v="47"/>
    <x v="51"/>
    <x v="75"/>
    <x v="100"/>
    <x v="380"/>
    <x v="1"/>
  </r>
  <r>
    <x v="0"/>
    <x v="51"/>
    <x v="51"/>
    <x v="15"/>
    <x v="15"/>
    <x v="15"/>
    <x v="12"/>
    <x v="64"/>
    <x v="89"/>
    <x v="52"/>
    <x v="289"/>
    <x v="92"/>
    <x v="127"/>
    <x v="1"/>
  </r>
  <r>
    <x v="0"/>
    <x v="51"/>
    <x v="51"/>
    <x v="45"/>
    <x v="45"/>
    <x v="45"/>
    <x v="12"/>
    <x v="64"/>
    <x v="89"/>
    <x v="47"/>
    <x v="492"/>
    <x v="69"/>
    <x v="157"/>
    <x v="1"/>
  </r>
  <r>
    <x v="0"/>
    <x v="51"/>
    <x v="51"/>
    <x v="16"/>
    <x v="16"/>
    <x v="16"/>
    <x v="14"/>
    <x v="101"/>
    <x v="200"/>
    <x v="57"/>
    <x v="140"/>
    <x v="90"/>
    <x v="277"/>
    <x v="1"/>
  </r>
  <r>
    <x v="0"/>
    <x v="51"/>
    <x v="51"/>
    <x v="6"/>
    <x v="6"/>
    <x v="6"/>
    <x v="14"/>
    <x v="101"/>
    <x v="200"/>
    <x v="145"/>
    <x v="8"/>
    <x v="46"/>
    <x v="24"/>
    <x v="1"/>
  </r>
  <r>
    <x v="0"/>
    <x v="51"/>
    <x v="51"/>
    <x v="24"/>
    <x v="24"/>
    <x v="24"/>
    <x v="16"/>
    <x v="65"/>
    <x v="13"/>
    <x v="46"/>
    <x v="287"/>
    <x v="89"/>
    <x v="264"/>
    <x v="1"/>
  </r>
  <r>
    <x v="0"/>
    <x v="51"/>
    <x v="51"/>
    <x v="77"/>
    <x v="77"/>
    <x v="77"/>
    <x v="16"/>
    <x v="65"/>
    <x v="13"/>
    <x v="128"/>
    <x v="472"/>
    <x v="64"/>
    <x v="62"/>
    <x v="1"/>
  </r>
  <r>
    <x v="0"/>
    <x v="51"/>
    <x v="51"/>
    <x v="11"/>
    <x v="11"/>
    <x v="11"/>
    <x v="18"/>
    <x v="69"/>
    <x v="67"/>
    <x v="120"/>
    <x v="218"/>
    <x v="66"/>
    <x v="64"/>
    <x v="1"/>
  </r>
  <r>
    <x v="0"/>
    <x v="51"/>
    <x v="51"/>
    <x v="47"/>
    <x v="47"/>
    <x v="47"/>
    <x v="19"/>
    <x v="66"/>
    <x v="53"/>
    <x v="48"/>
    <x v="513"/>
    <x v="69"/>
    <x v="157"/>
    <x v="1"/>
  </r>
  <r>
    <x v="0"/>
    <x v="52"/>
    <x v="52"/>
    <x v="0"/>
    <x v="0"/>
    <x v="0"/>
    <x v="0"/>
    <x v="286"/>
    <x v="319"/>
    <x v="121"/>
    <x v="530"/>
    <x v="200"/>
    <x v="381"/>
    <x v="1"/>
  </r>
  <r>
    <x v="0"/>
    <x v="52"/>
    <x v="52"/>
    <x v="1"/>
    <x v="1"/>
    <x v="1"/>
    <x v="1"/>
    <x v="42"/>
    <x v="320"/>
    <x v="90"/>
    <x v="531"/>
    <x v="67"/>
    <x v="329"/>
    <x v="1"/>
  </r>
  <r>
    <x v="0"/>
    <x v="52"/>
    <x v="52"/>
    <x v="4"/>
    <x v="4"/>
    <x v="4"/>
    <x v="2"/>
    <x v="95"/>
    <x v="1"/>
    <x v="82"/>
    <x v="32"/>
    <x v="83"/>
    <x v="382"/>
    <x v="1"/>
  </r>
  <r>
    <x v="0"/>
    <x v="52"/>
    <x v="52"/>
    <x v="12"/>
    <x v="12"/>
    <x v="12"/>
    <x v="3"/>
    <x v="97"/>
    <x v="101"/>
    <x v="111"/>
    <x v="158"/>
    <x v="195"/>
    <x v="383"/>
    <x v="0"/>
  </r>
  <r>
    <x v="0"/>
    <x v="52"/>
    <x v="52"/>
    <x v="2"/>
    <x v="2"/>
    <x v="2"/>
    <x v="4"/>
    <x v="126"/>
    <x v="112"/>
    <x v="43"/>
    <x v="532"/>
    <x v="72"/>
    <x v="132"/>
    <x v="1"/>
  </r>
  <r>
    <x v="0"/>
    <x v="52"/>
    <x v="52"/>
    <x v="5"/>
    <x v="5"/>
    <x v="5"/>
    <x v="5"/>
    <x v="132"/>
    <x v="104"/>
    <x v="94"/>
    <x v="353"/>
    <x v="61"/>
    <x v="308"/>
    <x v="1"/>
  </r>
  <r>
    <x v="0"/>
    <x v="52"/>
    <x v="52"/>
    <x v="13"/>
    <x v="13"/>
    <x v="13"/>
    <x v="6"/>
    <x v="133"/>
    <x v="26"/>
    <x v="68"/>
    <x v="205"/>
    <x v="92"/>
    <x v="384"/>
    <x v="1"/>
  </r>
  <r>
    <x v="0"/>
    <x v="52"/>
    <x v="52"/>
    <x v="6"/>
    <x v="6"/>
    <x v="6"/>
    <x v="6"/>
    <x v="133"/>
    <x v="26"/>
    <x v="110"/>
    <x v="66"/>
    <x v="61"/>
    <x v="308"/>
    <x v="1"/>
  </r>
  <r>
    <x v="0"/>
    <x v="52"/>
    <x v="52"/>
    <x v="9"/>
    <x v="9"/>
    <x v="9"/>
    <x v="8"/>
    <x v="51"/>
    <x v="8"/>
    <x v="100"/>
    <x v="495"/>
    <x v="61"/>
    <x v="308"/>
    <x v="1"/>
  </r>
  <r>
    <x v="0"/>
    <x v="52"/>
    <x v="52"/>
    <x v="63"/>
    <x v="63"/>
    <x v="63"/>
    <x v="9"/>
    <x v="66"/>
    <x v="119"/>
    <x v="57"/>
    <x v="262"/>
    <x v="53"/>
    <x v="385"/>
    <x v="1"/>
  </r>
  <r>
    <x v="0"/>
    <x v="52"/>
    <x v="52"/>
    <x v="38"/>
    <x v="38"/>
    <x v="38"/>
    <x v="10"/>
    <x v="52"/>
    <x v="184"/>
    <x v="68"/>
    <x v="205"/>
    <x v="89"/>
    <x v="179"/>
    <x v="1"/>
  </r>
  <r>
    <x v="0"/>
    <x v="52"/>
    <x v="52"/>
    <x v="8"/>
    <x v="8"/>
    <x v="8"/>
    <x v="11"/>
    <x v="54"/>
    <x v="233"/>
    <x v="79"/>
    <x v="273"/>
    <x v="64"/>
    <x v="70"/>
    <x v="1"/>
  </r>
  <r>
    <x v="0"/>
    <x v="52"/>
    <x v="52"/>
    <x v="31"/>
    <x v="31"/>
    <x v="31"/>
    <x v="12"/>
    <x v="55"/>
    <x v="90"/>
    <x v="100"/>
    <x v="495"/>
    <x v="44"/>
    <x v="41"/>
    <x v="1"/>
  </r>
  <r>
    <x v="0"/>
    <x v="52"/>
    <x v="52"/>
    <x v="7"/>
    <x v="7"/>
    <x v="7"/>
    <x v="13"/>
    <x v="56"/>
    <x v="79"/>
    <x v="102"/>
    <x v="434"/>
    <x v="67"/>
    <x v="329"/>
    <x v="1"/>
  </r>
  <r>
    <x v="0"/>
    <x v="52"/>
    <x v="52"/>
    <x v="16"/>
    <x v="16"/>
    <x v="16"/>
    <x v="14"/>
    <x v="57"/>
    <x v="228"/>
    <x v="59"/>
    <x v="512"/>
    <x v="71"/>
    <x v="49"/>
    <x v="1"/>
  </r>
  <r>
    <x v="0"/>
    <x v="52"/>
    <x v="52"/>
    <x v="81"/>
    <x v="81"/>
    <x v="81"/>
    <x v="15"/>
    <x v="58"/>
    <x v="31"/>
    <x v="68"/>
    <x v="205"/>
    <x v="68"/>
    <x v="386"/>
    <x v="1"/>
  </r>
  <r>
    <x v="0"/>
    <x v="52"/>
    <x v="52"/>
    <x v="59"/>
    <x v="59"/>
    <x v="59"/>
    <x v="16"/>
    <x v="103"/>
    <x v="35"/>
    <x v="53"/>
    <x v="533"/>
    <x v="70"/>
    <x v="45"/>
    <x v="1"/>
  </r>
  <r>
    <x v="0"/>
    <x v="52"/>
    <x v="52"/>
    <x v="15"/>
    <x v="15"/>
    <x v="15"/>
    <x v="16"/>
    <x v="103"/>
    <x v="35"/>
    <x v="71"/>
    <x v="364"/>
    <x v="97"/>
    <x v="102"/>
    <x v="1"/>
  </r>
  <r>
    <x v="0"/>
    <x v="52"/>
    <x v="52"/>
    <x v="44"/>
    <x v="44"/>
    <x v="44"/>
    <x v="16"/>
    <x v="103"/>
    <x v="35"/>
    <x v="51"/>
    <x v="328"/>
    <x v="43"/>
    <x v="162"/>
    <x v="1"/>
  </r>
  <r>
    <x v="0"/>
    <x v="52"/>
    <x v="52"/>
    <x v="19"/>
    <x v="19"/>
    <x v="19"/>
    <x v="19"/>
    <x v="107"/>
    <x v="53"/>
    <x v="53"/>
    <x v="533"/>
    <x v="58"/>
    <x v="15"/>
    <x v="1"/>
  </r>
  <r>
    <x v="0"/>
    <x v="52"/>
    <x v="52"/>
    <x v="18"/>
    <x v="18"/>
    <x v="18"/>
    <x v="19"/>
    <x v="107"/>
    <x v="53"/>
    <x v="64"/>
    <x v="235"/>
    <x v="54"/>
    <x v="163"/>
    <x v="1"/>
  </r>
  <r>
    <x v="0"/>
    <x v="53"/>
    <x v="53"/>
    <x v="0"/>
    <x v="0"/>
    <x v="0"/>
    <x v="0"/>
    <x v="116"/>
    <x v="321"/>
    <x v="79"/>
    <x v="197"/>
    <x v="176"/>
    <x v="387"/>
    <x v="1"/>
  </r>
  <r>
    <x v="0"/>
    <x v="53"/>
    <x v="53"/>
    <x v="1"/>
    <x v="1"/>
    <x v="1"/>
    <x v="1"/>
    <x v="138"/>
    <x v="259"/>
    <x v="47"/>
    <x v="443"/>
    <x v="48"/>
    <x v="378"/>
    <x v="1"/>
  </r>
  <r>
    <x v="0"/>
    <x v="53"/>
    <x v="53"/>
    <x v="2"/>
    <x v="2"/>
    <x v="2"/>
    <x v="2"/>
    <x v="69"/>
    <x v="41"/>
    <x v="128"/>
    <x v="534"/>
    <x v="61"/>
    <x v="48"/>
    <x v="1"/>
  </r>
  <r>
    <x v="0"/>
    <x v="53"/>
    <x v="53"/>
    <x v="7"/>
    <x v="7"/>
    <x v="7"/>
    <x v="3"/>
    <x v="57"/>
    <x v="198"/>
    <x v="58"/>
    <x v="528"/>
    <x v="56"/>
    <x v="26"/>
    <x v="1"/>
  </r>
  <r>
    <x v="0"/>
    <x v="53"/>
    <x v="53"/>
    <x v="8"/>
    <x v="8"/>
    <x v="8"/>
    <x v="4"/>
    <x v="67"/>
    <x v="153"/>
    <x v="56"/>
    <x v="535"/>
    <x v="61"/>
    <x v="48"/>
    <x v="1"/>
  </r>
  <r>
    <x v="0"/>
    <x v="53"/>
    <x v="53"/>
    <x v="10"/>
    <x v="10"/>
    <x v="10"/>
    <x v="5"/>
    <x v="70"/>
    <x v="60"/>
    <x v="114"/>
    <x v="191"/>
    <x v="63"/>
    <x v="211"/>
    <x v="1"/>
  </r>
  <r>
    <x v="0"/>
    <x v="53"/>
    <x v="53"/>
    <x v="5"/>
    <x v="5"/>
    <x v="5"/>
    <x v="6"/>
    <x v="68"/>
    <x v="322"/>
    <x v="56"/>
    <x v="535"/>
    <x v="63"/>
    <x v="211"/>
    <x v="1"/>
  </r>
  <r>
    <x v="0"/>
    <x v="53"/>
    <x v="53"/>
    <x v="4"/>
    <x v="4"/>
    <x v="4"/>
    <x v="7"/>
    <x v="103"/>
    <x v="106"/>
    <x v="53"/>
    <x v="126"/>
    <x v="70"/>
    <x v="388"/>
    <x v="1"/>
  </r>
  <r>
    <x v="0"/>
    <x v="53"/>
    <x v="53"/>
    <x v="38"/>
    <x v="38"/>
    <x v="38"/>
    <x v="8"/>
    <x v="104"/>
    <x v="26"/>
    <x v="75"/>
    <x v="84"/>
    <x v="55"/>
    <x v="247"/>
    <x v="1"/>
  </r>
  <r>
    <x v="0"/>
    <x v="53"/>
    <x v="53"/>
    <x v="16"/>
    <x v="16"/>
    <x v="16"/>
    <x v="9"/>
    <x v="73"/>
    <x v="63"/>
    <x v="71"/>
    <x v="337"/>
    <x v="41"/>
    <x v="259"/>
    <x v="1"/>
  </r>
  <r>
    <x v="0"/>
    <x v="53"/>
    <x v="53"/>
    <x v="12"/>
    <x v="12"/>
    <x v="12"/>
    <x v="9"/>
    <x v="73"/>
    <x v="63"/>
    <x v="75"/>
    <x v="84"/>
    <x v="47"/>
    <x v="238"/>
    <x v="6"/>
  </r>
  <r>
    <x v="0"/>
    <x v="53"/>
    <x v="53"/>
    <x v="82"/>
    <x v="82"/>
    <x v="82"/>
    <x v="11"/>
    <x v="74"/>
    <x v="184"/>
    <x v="82"/>
    <x v="87"/>
    <x v="97"/>
    <x v="213"/>
    <x v="1"/>
  </r>
  <r>
    <x v="0"/>
    <x v="53"/>
    <x v="53"/>
    <x v="9"/>
    <x v="9"/>
    <x v="9"/>
    <x v="11"/>
    <x v="74"/>
    <x v="184"/>
    <x v="81"/>
    <x v="536"/>
    <x v="63"/>
    <x v="211"/>
    <x v="1"/>
  </r>
  <r>
    <x v="0"/>
    <x v="53"/>
    <x v="53"/>
    <x v="3"/>
    <x v="3"/>
    <x v="3"/>
    <x v="13"/>
    <x v="108"/>
    <x v="208"/>
    <x v="54"/>
    <x v="537"/>
    <x v="56"/>
    <x v="26"/>
    <x v="1"/>
  </r>
  <r>
    <x v="0"/>
    <x v="53"/>
    <x v="53"/>
    <x v="14"/>
    <x v="14"/>
    <x v="14"/>
    <x v="14"/>
    <x v="75"/>
    <x v="146"/>
    <x v="51"/>
    <x v="538"/>
    <x v="67"/>
    <x v="219"/>
    <x v="6"/>
  </r>
  <r>
    <x v="0"/>
    <x v="53"/>
    <x v="53"/>
    <x v="63"/>
    <x v="63"/>
    <x v="63"/>
    <x v="14"/>
    <x v="75"/>
    <x v="146"/>
    <x v="107"/>
    <x v="249"/>
    <x v="67"/>
    <x v="219"/>
    <x v="1"/>
  </r>
  <r>
    <x v="0"/>
    <x v="53"/>
    <x v="53"/>
    <x v="15"/>
    <x v="15"/>
    <x v="15"/>
    <x v="16"/>
    <x v="76"/>
    <x v="98"/>
    <x v="68"/>
    <x v="172"/>
    <x v="76"/>
    <x v="159"/>
    <x v="1"/>
  </r>
  <r>
    <x v="0"/>
    <x v="53"/>
    <x v="53"/>
    <x v="6"/>
    <x v="6"/>
    <x v="6"/>
    <x v="16"/>
    <x v="76"/>
    <x v="98"/>
    <x v="51"/>
    <x v="538"/>
    <x v="46"/>
    <x v="99"/>
    <x v="1"/>
  </r>
  <r>
    <x v="0"/>
    <x v="53"/>
    <x v="53"/>
    <x v="57"/>
    <x v="57"/>
    <x v="57"/>
    <x v="18"/>
    <x v="234"/>
    <x v="32"/>
    <x v="111"/>
    <x v="158"/>
    <x v="59"/>
    <x v="357"/>
    <x v="1"/>
  </r>
  <r>
    <x v="0"/>
    <x v="53"/>
    <x v="53"/>
    <x v="18"/>
    <x v="18"/>
    <x v="18"/>
    <x v="19"/>
    <x v="238"/>
    <x v="67"/>
    <x v="46"/>
    <x v="183"/>
    <x v="44"/>
    <x v="145"/>
    <x v="1"/>
  </r>
  <r>
    <x v="0"/>
    <x v="54"/>
    <x v="54"/>
    <x v="0"/>
    <x v="0"/>
    <x v="0"/>
    <x v="0"/>
    <x v="42"/>
    <x v="56"/>
    <x v="78"/>
    <x v="518"/>
    <x v="86"/>
    <x v="371"/>
    <x v="1"/>
  </r>
  <r>
    <x v="0"/>
    <x v="54"/>
    <x v="54"/>
    <x v="1"/>
    <x v="1"/>
    <x v="1"/>
    <x v="1"/>
    <x v="95"/>
    <x v="323"/>
    <x v="152"/>
    <x v="539"/>
    <x v="69"/>
    <x v="40"/>
    <x v="1"/>
  </r>
  <r>
    <x v="0"/>
    <x v="54"/>
    <x v="54"/>
    <x v="10"/>
    <x v="10"/>
    <x v="10"/>
    <x v="2"/>
    <x v="126"/>
    <x v="72"/>
    <x v="133"/>
    <x v="355"/>
    <x v="108"/>
    <x v="48"/>
    <x v="1"/>
  </r>
  <r>
    <x v="0"/>
    <x v="54"/>
    <x v="54"/>
    <x v="2"/>
    <x v="2"/>
    <x v="2"/>
    <x v="3"/>
    <x v="116"/>
    <x v="162"/>
    <x v="66"/>
    <x v="540"/>
    <x v="46"/>
    <x v="104"/>
    <x v="1"/>
  </r>
  <r>
    <x v="0"/>
    <x v="54"/>
    <x v="54"/>
    <x v="4"/>
    <x v="4"/>
    <x v="4"/>
    <x v="4"/>
    <x v="101"/>
    <x v="204"/>
    <x v="71"/>
    <x v="92"/>
    <x v="135"/>
    <x v="389"/>
    <x v="1"/>
  </r>
  <r>
    <x v="0"/>
    <x v="54"/>
    <x v="54"/>
    <x v="5"/>
    <x v="5"/>
    <x v="5"/>
    <x v="4"/>
    <x v="101"/>
    <x v="204"/>
    <x v="77"/>
    <x v="294"/>
    <x v="67"/>
    <x v="308"/>
    <x v="1"/>
  </r>
  <r>
    <x v="0"/>
    <x v="54"/>
    <x v="54"/>
    <x v="9"/>
    <x v="9"/>
    <x v="9"/>
    <x v="6"/>
    <x v="48"/>
    <x v="181"/>
    <x v="94"/>
    <x v="116"/>
    <x v="72"/>
    <x v="157"/>
    <x v="1"/>
  </r>
  <r>
    <x v="0"/>
    <x v="54"/>
    <x v="54"/>
    <x v="16"/>
    <x v="16"/>
    <x v="16"/>
    <x v="7"/>
    <x v="119"/>
    <x v="105"/>
    <x v="83"/>
    <x v="491"/>
    <x v="89"/>
    <x v="390"/>
    <x v="1"/>
  </r>
  <r>
    <x v="0"/>
    <x v="54"/>
    <x v="54"/>
    <x v="7"/>
    <x v="7"/>
    <x v="7"/>
    <x v="8"/>
    <x v="124"/>
    <x v="106"/>
    <x v="94"/>
    <x v="116"/>
    <x v="66"/>
    <x v="391"/>
    <x v="1"/>
  </r>
  <r>
    <x v="0"/>
    <x v="54"/>
    <x v="54"/>
    <x v="38"/>
    <x v="38"/>
    <x v="38"/>
    <x v="9"/>
    <x v="66"/>
    <x v="107"/>
    <x v="60"/>
    <x v="174"/>
    <x v="107"/>
    <x v="392"/>
    <x v="1"/>
  </r>
  <r>
    <x v="0"/>
    <x v="54"/>
    <x v="54"/>
    <x v="8"/>
    <x v="8"/>
    <x v="8"/>
    <x v="10"/>
    <x v="52"/>
    <x v="8"/>
    <x v="100"/>
    <x v="179"/>
    <x v="67"/>
    <x v="308"/>
    <x v="1"/>
  </r>
  <r>
    <x v="0"/>
    <x v="54"/>
    <x v="54"/>
    <x v="3"/>
    <x v="3"/>
    <x v="3"/>
    <x v="11"/>
    <x v="67"/>
    <x v="133"/>
    <x v="58"/>
    <x v="71"/>
    <x v="66"/>
    <x v="391"/>
    <x v="1"/>
  </r>
  <r>
    <x v="0"/>
    <x v="54"/>
    <x v="54"/>
    <x v="40"/>
    <x v="40"/>
    <x v="40"/>
    <x v="12"/>
    <x v="58"/>
    <x v="12"/>
    <x v="55"/>
    <x v="193"/>
    <x v="58"/>
    <x v="393"/>
    <x v="1"/>
  </r>
  <r>
    <x v="0"/>
    <x v="54"/>
    <x v="54"/>
    <x v="15"/>
    <x v="15"/>
    <x v="15"/>
    <x v="13"/>
    <x v="71"/>
    <x v="32"/>
    <x v="74"/>
    <x v="385"/>
    <x v="97"/>
    <x v="385"/>
    <x v="1"/>
  </r>
  <r>
    <x v="0"/>
    <x v="54"/>
    <x v="54"/>
    <x v="63"/>
    <x v="63"/>
    <x v="63"/>
    <x v="13"/>
    <x v="71"/>
    <x v="32"/>
    <x v="81"/>
    <x v="412"/>
    <x v="54"/>
    <x v="100"/>
    <x v="1"/>
  </r>
  <r>
    <x v="0"/>
    <x v="54"/>
    <x v="54"/>
    <x v="13"/>
    <x v="13"/>
    <x v="13"/>
    <x v="15"/>
    <x v="68"/>
    <x v="33"/>
    <x v="55"/>
    <x v="193"/>
    <x v="97"/>
    <x v="385"/>
    <x v="1"/>
  </r>
  <r>
    <x v="0"/>
    <x v="54"/>
    <x v="54"/>
    <x v="14"/>
    <x v="14"/>
    <x v="14"/>
    <x v="16"/>
    <x v="107"/>
    <x v="52"/>
    <x v="96"/>
    <x v="419"/>
    <x v="67"/>
    <x v="308"/>
    <x v="1"/>
  </r>
  <r>
    <x v="0"/>
    <x v="54"/>
    <x v="54"/>
    <x v="45"/>
    <x v="45"/>
    <x v="45"/>
    <x v="16"/>
    <x v="107"/>
    <x v="52"/>
    <x v="54"/>
    <x v="369"/>
    <x v="72"/>
    <x v="157"/>
    <x v="1"/>
  </r>
  <r>
    <x v="0"/>
    <x v="54"/>
    <x v="54"/>
    <x v="24"/>
    <x v="24"/>
    <x v="24"/>
    <x v="18"/>
    <x v="104"/>
    <x v="109"/>
    <x v="86"/>
    <x v="337"/>
    <x v="75"/>
    <x v="102"/>
    <x v="1"/>
  </r>
  <r>
    <x v="0"/>
    <x v="54"/>
    <x v="54"/>
    <x v="59"/>
    <x v="59"/>
    <x v="59"/>
    <x v="19"/>
    <x v="73"/>
    <x v="149"/>
    <x v="55"/>
    <x v="193"/>
    <x v="52"/>
    <x v="39"/>
    <x v="1"/>
  </r>
  <r>
    <x v="0"/>
    <x v="54"/>
    <x v="54"/>
    <x v="47"/>
    <x v="47"/>
    <x v="47"/>
    <x v="19"/>
    <x v="73"/>
    <x v="149"/>
    <x v="96"/>
    <x v="419"/>
    <x v="44"/>
    <x v="301"/>
    <x v="1"/>
  </r>
  <r>
    <x v="0"/>
    <x v="55"/>
    <x v="55"/>
    <x v="3"/>
    <x v="3"/>
    <x v="3"/>
    <x v="0"/>
    <x v="128"/>
    <x v="324"/>
    <x v="195"/>
    <x v="541"/>
    <x v="46"/>
    <x v="107"/>
    <x v="1"/>
  </r>
  <r>
    <x v="0"/>
    <x v="55"/>
    <x v="55"/>
    <x v="0"/>
    <x v="0"/>
    <x v="0"/>
    <x v="1"/>
    <x v="110"/>
    <x v="70"/>
    <x v="52"/>
    <x v="18"/>
    <x v="201"/>
    <x v="394"/>
    <x v="1"/>
  </r>
  <r>
    <x v="0"/>
    <x v="55"/>
    <x v="55"/>
    <x v="1"/>
    <x v="1"/>
    <x v="1"/>
    <x v="2"/>
    <x v="287"/>
    <x v="325"/>
    <x v="205"/>
    <x v="542"/>
    <x v="69"/>
    <x v="157"/>
    <x v="1"/>
  </r>
  <r>
    <x v="0"/>
    <x v="55"/>
    <x v="55"/>
    <x v="5"/>
    <x v="5"/>
    <x v="5"/>
    <x v="3"/>
    <x v="166"/>
    <x v="173"/>
    <x v="137"/>
    <x v="543"/>
    <x v="46"/>
    <x v="107"/>
    <x v="1"/>
  </r>
  <r>
    <x v="0"/>
    <x v="55"/>
    <x v="55"/>
    <x v="4"/>
    <x v="4"/>
    <x v="4"/>
    <x v="4"/>
    <x v="92"/>
    <x v="326"/>
    <x v="53"/>
    <x v="155"/>
    <x v="202"/>
    <x v="395"/>
    <x v="1"/>
  </r>
  <r>
    <x v="0"/>
    <x v="55"/>
    <x v="55"/>
    <x v="2"/>
    <x v="2"/>
    <x v="2"/>
    <x v="5"/>
    <x v="121"/>
    <x v="239"/>
    <x v="105"/>
    <x v="2"/>
    <x v="54"/>
    <x v="312"/>
    <x v="1"/>
  </r>
  <r>
    <x v="0"/>
    <x v="55"/>
    <x v="55"/>
    <x v="7"/>
    <x v="7"/>
    <x v="7"/>
    <x v="6"/>
    <x v="95"/>
    <x v="22"/>
    <x v="132"/>
    <x v="351"/>
    <x v="66"/>
    <x v="64"/>
    <x v="1"/>
  </r>
  <r>
    <x v="0"/>
    <x v="55"/>
    <x v="55"/>
    <x v="6"/>
    <x v="6"/>
    <x v="6"/>
    <x v="7"/>
    <x v="100"/>
    <x v="24"/>
    <x v="189"/>
    <x v="544"/>
    <x v="72"/>
    <x v="188"/>
    <x v="1"/>
  </r>
  <r>
    <x v="0"/>
    <x v="55"/>
    <x v="55"/>
    <x v="8"/>
    <x v="8"/>
    <x v="8"/>
    <x v="8"/>
    <x v="138"/>
    <x v="206"/>
    <x v="119"/>
    <x v="545"/>
    <x v="108"/>
    <x v="199"/>
    <x v="1"/>
  </r>
  <r>
    <x v="0"/>
    <x v="55"/>
    <x v="55"/>
    <x v="12"/>
    <x v="12"/>
    <x v="12"/>
    <x v="9"/>
    <x v="118"/>
    <x v="63"/>
    <x v="75"/>
    <x v="37"/>
    <x v="135"/>
    <x v="396"/>
    <x v="1"/>
  </r>
  <r>
    <x v="0"/>
    <x v="55"/>
    <x v="55"/>
    <x v="15"/>
    <x v="15"/>
    <x v="15"/>
    <x v="10"/>
    <x v="47"/>
    <x v="119"/>
    <x v="86"/>
    <x v="193"/>
    <x v="175"/>
    <x v="97"/>
    <x v="1"/>
  </r>
  <r>
    <x v="0"/>
    <x v="55"/>
    <x v="55"/>
    <x v="11"/>
    <x v="11"/>
    <x v="11"/>
    <x v="11"/>
    <x v="49"/>
    <x v="233"/>
    <x v="106"/>
    <x v="269"/>
    <x v="73"/>
    <x v="72"/>
    <x v="1"/>
  </r>
  <r>
    <x v="0"/>
    <x v="55"/>
    <x v="55"/>
    <x v="40"/>
    <x v="40"/>
    <x v="40"/>
    <x v="12"/>
    <x v="119"/>
    <x v="11"/>
    <x v="54"/>
    <x v="546"/>
    <x v="49"/>
    <x v="197"/>
    <x v="1"/>
  </r>
  <r>
    <x v="0"/>
    <x v="55"/>
    <x v="55"/>
    <x v="45"/>
    <x v="45"/>
    <x v="45"/>
    <x v="12"/>
    <x v="119"/>
    <x v="11"/>
    <x v="101"/>
    <x v="285"/>
    <x v="64"/>
    <x v="130"/>
    <x v="1"/>
  </r>
  <r>
    <x v="0"/>
    <x v="55"/>
    <x v="55"/>
    <x v="63"/>
    <x v="63"/>
    <x v="63"/>
    <x v="14"/>
    <x v="69"/>
    <x v="31"/>
    <x v="102"/>
    <x v="194"/>
    <x v="108"/>
    <x v="199"/>
    <x v="1"/>
  </r>
  <r>
    <x v="0"/>
    <x v="55"/>
    <x v="55"/>
    <x v="13"/>
    <x v="13"/>
    <x v="13"/>
    <x v="14"/>
    <x v="69"/>
    <x v="31"/>
    <x v="51"/>
    <x v="289"/>
    <x v="68"/>
    <x v="93"/>
    <x v="1"/>
  </r>
  <r>
    <x v="0"/>
    <x v="55"/>
    <x v="55"/>
    <x v="24"/>
    <x v="24"/>
    <x v="24"/>
    <x v="16"/>
    <x v="53"/>
    <x v="148"/>
    <x v="60"/>
    <x v="69"/>
    <x v="53"/>
    <x v="111"/>
    <x v="1"/>
  </r>
  <r>
    <x v="0"/>
    <x v="55"/>
    <x v="55"/>
    <x v="14"/>
    <x v="14"/>
    <x v="14"/>
    <x v="17"/>
    <x v="55"/>
    <x v="109"/>
    <x v="113"/>
    <x v="442"/>
    <x v="74"/>
    <x v="193"/>
    <x v="1"/>
  </r>
  <r>
    <x v="0"/>
    <x v="55"/>
    <x v="55"/>
    <x v="29"/>
    <x v="29"/>
    <x v="29"/>
    <x v="18"/>
    <x v="106"/>
    <x v="17"/>
    <x v="100"/>
    <x v="547"/>
    <x v="66"/>
    <x v="64"/>
    <x v="1"/>
  </r>
  <r>
    <x v="0"/>
    <x v="55"/>
    <x v="55"/>
    <x v="16"/>
    <x v="16"/>
    <x v="16"/>
    <x v="19"/>
    <x v="67"/>
    <x v="18"/>
    <x v="68"/>
    <x v="383"/>
    <x v="71"/>
    <x v="160"/>
    <x v="1"/>
  </r>
  <r>
    <x v="0"/>
    <x v="55"/>
    <x v="55"/>
    <x v="9"/>
    <x v="9"/>
    <x v="9"/>
    <x v="19"/>
    <x v="67"/>
    <x v="18"/>
    <x v="114"/>
    <x v="412"/>
    <x v="67"/>
    <x v="196"/>
    <x v="1"/>
  </r>
  <r>
    <x v="0"/>
    <x v="56"/>
    <x v="56"/>
    <x v="4"/>
    <x v="4"/>
    <x v="4"/>
    <x v="0"/>
    <x v="227"/>
    <x v="327"/>
    <x v="53"/>
    <x v="101"/>
    <x v="203"/>
    <x v="397"/>
    <x v="1"/>
  </r>
  <r>
    <x v="0"/>
    <x v="56"/>
    <x v="56"/>
    <x v="0"/>
    <x v="0"/>
    <x v="0"/>
    <x v="1"/>
    <x v="96"/>
    <x v="237"/>
    <x v="54"/>
    <x v="488"/>
    <x v="99"/>
    <x v="83"/>
    <x v="1"/>
  </r>
  <r>
    <x v="0"/>
    <x v="56"/>
    <x v="56"/>
    <x v="1"/>
    <x v="1"/>
    <x v="1"/>
    <x v="2"/>
    <x v="137"/>
    <x v="84"/>
    <x v="129"/>
    <x v="548"/>
    <x v="46"/>
    <x v="291"/>
    <x v="1"/>
  </r>
  <r>
    <x v="0"/>
    <x v="56"/>
    <x v="56"/>
    <x v="45"/>
    <x v="45"/>
    <x v="45"/>
    <x v="3"/>
    <x v="101"/>
    <x v="58"/>
    <x v="48"/>
    <x v="549"/>
    <x v="49"/>
    <x v="86"/>
    <x v="1"/>
  </r>
  <r>
    <x v="0"/>
    <x v="56"/>
    <x v="56"/>
    <x v="63"/>
    <x v="63"/>
    <x v="63"/>
    <x v="4"/>
    <x v="49"/>
    <x v="182"/>
    <x v="102"/>
    <x v="496"/>
    <x v="47"/>
    <x v="373"/>
    <x v="1"/>
  </r>
  <r>
    <x v="0"/>
    <x v="56"/>
    <x v="56"/>
    <x v="3"/>
    <x v="3"/>
    <x v="3"/>
    <x v="5"/>
    <x v="119"/>
    <x v="328"/>
    <x v="95"/>
    <x v="316"/>
    <x v="66"/>
    <x v="64"/>
    <x v="1"/>
  </r>
  <r>
    <x v="0"/>
    <x v="56"/>
    <x v="56"/>
    <x v="15"/>
    <x v="15"/>
    <x v="15"/>
    <x v="6"/>
    <x v="50"/>
    <x v="106"/>
    <x v="60"/>
    <x v="491"/>
    <x v="77"/>
    <x v="110"/>
    <x v="1"/>
  </r>
  <r>
    <x v="0"/>
    <x v="56"/>
    <x v="56"/>
    <x v="24"/>
    <x v="24"/>
    <x v="24"/>
    <x v="6"/>
    <x v="50"/>
    <x v="106"/>
    <x v="83"/>
    <x v="550"/>
    <x v="65"/>
    <x v="179"/>
    <x v="1"/>
  </r>
  <r>
    <x v="0"/>
    <x v="56"/>
    <x v="56"/>
    <x v="2"/>
    <x v="2"/>
    <x v="2"/>
    <x v="8"/>
    <x v="51"/>
    <x v="47"/>
    <x v="92"/>
    <x v="138"/>
    <x v="63"/>
    <x v="301"/>
    <x v="1"/>
  </r>
  <r>
    <x v="0"/>
    <x v="56"/>
    <x v="56"/>
    <x v="12"/>
    <x v="12"/>
    <x v="12"/>
    <x v="9"/>
    <x v="54"/>
    <x v="166"/>
    <x v="111"/>
    <x v="158"/>
    <x v="176"/>
    <x v="398"/>
    <x v="1"/>
  </r>
  <r>
    <x v="0"/>
    <x v="56"/>
    <x v="56"/>
    <x v="7"/>
    <x v="7"/>
    <x v="7"/>
    <x v="9"/>
    <x v="54"/>
    <x v="166"/>
    <x v="110"/>
    <x v="304"/>
    <x v="66"/>
    <x v="64"/>
    <x v="1"/>
  </r>
  <r>
    <x v="0"/>
    <x v="56"/>
    <x v="56"/>
    <x v="38"/>
    <x v="38"/>
    <x v="38"/>
    <x v="11"/>
    <x v="106"/>
    <x v="147"/>
    <x v="75"/>
    <x v="65"/>
    <x v="107"/>
    <x v="80"/>
    <x v="1"/>
  </r>
  <r>
    <x v="0"/>
    <x v="56"/>
    <x v="56"/>
    <x v="40"/>
    <x v="40"/>
    <x v="40"/>
    <x v="12"/>
    <x v="67"/>
    <x v="134"/>
    <x v="55"/>
    <x v="243"/>
    <x v="70"/>
    <x v="363"/>
    <x v="1"/>
  </r>
  <r>
    <x v="0"/>
    <x v="56"/>
    <x v="56"/>
    <x v="16"/>
    <x v="16"/>
    <x v="16"/>
    <x v="13"/>
    <x v="58"/>
    <x v="13"/>
    <x v="75"/>
    <x v="65"/>
    <x v="71"/>
    <x v="136"/>
    <x v="1"/>
  </r>
  <r>
    <x v="0"/>
    <x v="56"/>
    <x v="56"/>
    <x v="6"/>
    <x v="6"/>
    <x v="6"/>
    <x v="13"/>
    <x v="58"/>
    <x v="13"/>
    <x v="185"/>
    <x v="551"/>
    <x v="44"/>
    <x v="27"/>
    <x v="1"/>
  </r>
  <r>
    <x v="0"/>
    <x v="56"/>
    <x v="56"/>
    <x v="10"/>
    <x v="10"/>
    <x v="10"/>
    <x v="15"/>
    <x v="71"/>
    <x v="136"/>
    <x v="57"/>
    <x v="35"/>
    <x v="59"/>
    <x v="263"/>
    <x v="1"/>
  </r>
  <r>
    <x v="0"/>
    <x v="56"/>
    <x v="56"/>
    <x v="5"/>
    <x v="5"/>
    <x v="5"/>
    <x v="15"/>
    <x v="71"/>
    <x v="136"/>
    <x v="102"/>
    <x v="496"/>
    <x v="73"/>
    <x v="72"/>
    <x v="1"/>
  </r>
  <r>
    <x v="0"/>
    <x v="56"/>
    <x v="56"/>
    <x v="65"/>
    <x v="65"/>
    <x v="65"/>
    <x v="17"/>
    <x v="68"/>
    <x v="137"/>
    <x v="83"/>
    <x v="550"/>
    <x v="52"/>
    <x v="116"/>
    <x v="1"/>
  </r>
  <r>
    <x v="0"/>
    <x v="56"/>
    <x v="56"/>
    <x v="42"/>
    <x v="42"/>
    <x v="42"/>
    <x v="18"/>
    <x v="107"/>
    <x v="36"/>
    <x v="71"/>
    <x v="58"/>
    <x v="50"/>
    <x v="307"/>
    <x v="1"/>
  </r>
  <r>
    <x v="0"/>
    <x v="56"/>
    <x v="56"/>
    <x v="13"/>
    <x v="13"/>
    <x v="13"/>
    <x v="18"/>
    <x v="107"/>
    <x v="36"/>
    <x v="53"/>
    <x v="101"/>
    <x v="58"/>
    <x v="399"/>
    <x v="1"/>
  </r>
  <r>
    <x v="0"/>
    <x v="57"/>
    <x v="57"/>
    <x v="1"/>
    <x v="1"/>
    <x v="1"/>
    <x v="0"/>
    <x v="115"/>
    <x v="329"/>
    <x v="66"/>
    <x v="89"/>
    <x v="72"/>
    <x v="126"/>
    <x v="1"/>
  </r>
  <r>
    <x v="0"/>
    <x v="57"/>
    <x v="57"/>
    <x v="0"/>
    <x v="0"/>
    <x v="0"/>
    <x v="1"/>
    <x v="50"/>
    <x v="330"/>
    <x v="64"/>
    <x v="33"/>
    <x v="53"/>
    <x v="400"/>
    <x v="1"/>
  </r>
  <r>
    <x v="0"/>
    <x v="57"/>
    <x v="57"/>
    <x v="2"/>
    <x v="2"/>
    <x v="2"/>
    <x v="2"/>
    <x v="54"/>
    <x v="275"/>
    <x v="48"/>
    <x v="255"/>
    <x v="72"/>
    <x v="126"/>
    <x v="1"/>
  </r>
  <r>
    <x v="0"/>
    <x v="57"/>
    <x v="57"/>
    <x v="9"/>
    <x v="9"/>
    <x v="9"/>
    <x v="3"/>
    <x v="56"/>
    <x v="269"/>
    <x v="101"/>
    <x v="240"/>
    <x v="44"/>
    <x v="308"/>
    <x v="1"/>
  </r>
  <r>
    <x v="0"/>
    <x v="57"/>
    <x v="57"/>
    <x v="3"/>
    <x v="3"/>
    <x v="3"/>
    <x v="4"/>
    <x v="71"/>
    <x v="287"/>
    <x v="114"/>
    <x v="104"/>
    <x v="44"/>
    <x v="308"/>
    <x v="1"/>
  </r>
  <r>
    <x v="0"/>
    <x v="57"/>
    <x v="57"/>
    <x v="10"/>
    <x v="10"/>
    <x v="10"/>
    <x v="5"/>
    <x v="72"/>
    <x v="104"/>
    <x v="52"/>
    <x v="552"/>
    <x v="72"/>
    <x v="126"/>
    <x v="1"/>
  </r>
  <r>
    <x v="0"/>
    <x v="57"/>
    <x v="57"/>
    <x v="7"/>
    <x v="7"/>
    <x v="7"/>
    <x v="6"/>
    <x v="73"/>
    <x v="199"/>
    <x v="79"/>
    <x v="522"/>
    <x v="66"/>
    <x v="11"/>
    <x v="1"/>
  </r>
  <r>
    <x v="0"/>
    <x v="57"/>
    <x v="57"/>
    <x v="16"/>
    <x v="16"/>
    <x v="16"/>
    <x v="7"/>
    <x v="108"/>
    <x v="145"/>
    <x v="50"/>
    <x v="297"/>
    <x v="97"/>
    <x v="228"/>
    <x v="1"/>
  </r>
  <r>
    <x v="0"/>
    <x v="57"/>
    <x v="57"/>
    <x v="5"/>
    <x v="5"/>
    <x v="5"/>
    <x v="8"/>
    <x v="75"/>
    <x v="26"/>
    <x v="81"/>
    <x v="553"/>
    <x v="56"/>
    <x v="98"/>
    <x v="1"/>
  </r>
  <r>
    <x v="0"/>
    <x v="57"/>
    <x v="57"/>
    <x v="6"/>
    <x v="6"/>
    <x v="6"/>
    <x v="9"/>
    <x v="233"/>
    <x v="47"/>
    <x v="64"/>
    <x v="33"/>
    <x v="63"/>
    <x v="1"/>
    <x v="1"/>
  </r>
  <r>
    <x v="0"/>
    <x v="57"/>
    <x v="57"/>
    <x v="44"/>
    <x v="44"/>
    <x v="44"/>
    <x v="9"/>
    <x v="233"/>
    <x v="47"/>
    <x v="67"/>
    <x v="216"/>
    <x v="61"/>
    <x v="340"/>
    <x v="1"/>
  </r>
  <r>
    <x v="0"/>
    <x v="57"/>
    <x v="57"/>
    <x v="24"/>
    <x v="24"/>
    <x v="24"/>
    <x v="11"/>
    <x v="76"/>
    <x v="119"/>
    <x v="50"/>
    <x v="297"/>
    <x v="59"/>
    <x v="401"/>
    <x v="1"/>
  </r>
  <r>
    <x v="0"/>
    <x v="57"/>
    <x v="57"/>
    <x v="14"/>
    <x v="14"/>
    <x v="14"/>
    <x v="12"/>
    <x v="77"/>
    <x v="156"/>
    <x v="83"/>
    <x v="217"/>
    <x v="67"/>
    <x v="321"/>
    <x v="1"/>
  </r>
  <r>
    <x v="0"/>
    <x v="57"/>
    <x v="57"/>
    <x v="63"/>
    <x v="63"/>
    <x v="63"/>
    <x v="12"/>
    <x v="77"/>
    <x v="156"/>
    <x v="67"/>
    <x v="216"/>
    <x v="46"/>
    <x v="66"/>
    <x v="1"/>
  </r>
  <r>
    <x v="0"/>
    <x v="57"/>
    <x v="57"/>
    <x v="11"/>
    <x v="11"/>
    <x v="11"/>
    <x v="12"/>
    <x v="77"/>
    <x v="156"/>
    <x v="97"/>
    <x v="435"/>
    <x v="73"/>
    <x v="72"/>
    <x v="1"/>
  </r>
  <r>
    <x v="0"/>
    <x v="57"/>
    <x v="57"/>
    <x v="45"/>
    <x v="45"/>
    <x v="45"/>
    <x v="12"/>
    <x v="77"/>
    <x v="156"/>
    <x v="67"/>
    <x v="216"/>
    <x v="46"/>
    <x v="66"/>
    <x v="1"/>
  </r>
  <r>
    <x v="0"/>
    <x v="57"/>
    <x v="57"/>
    <x v="8"/>
    <x v="8"/>
    <x v="8"/>
    <x v="16"/>
    <x v="238"/>
    <x v="133"/>
    <x v="83"/>
    <x v="217"/>
    <x v="46"/>
    <x v="66"/>
    <x v="1"/>
  </r>
  <r>
    <x v="0"/>
    <x v="57"/>
    <x v="57"/>
    <x v="47"/>
    <x v="47"/>
    <x v="47"/>
    <x v="16"/>
    <x v="238"/>
    <x v="133"/>
    <x v="67"/>
    <x v="216"/>
    <x v="63"/>
    <x v="1"/>
    <x v="1"/>
  </r>
  <r>
    <x v="0"/>
    <x v="57"/>
    <x v="57"/>
    <x v="15"/>
    <x v="15"/>
    <x v="15"/>
    <x v="18"/>
    <x v="78"/>
    <x v="33"/>
    <x v="82"/>
    <x v="533"/>
    <x v="43"/>
    <x v="402"/>
    <x v="1"/>
  </r>
  <r>
    <x v="0"/>
    <x v="57"/>
    <x v="57"/>
    <x v="13"/>
    <x v="13"/>
    <x v="13"/>
    <x v="18"/>
    <x v="78"/>
    <x v="33"/>
    <x v="75"/>
    <x v="512"/>
    <x v="48"/>
    <x v="192"/>
    <x v="1"/>
  </r>
  <r>
    <x v="0"/>
    <x v="57"/>
    <x v="57"/>
    <x v="12"/>
    <x v="12"/>
    <x v="12"/>
    <x v="18"/>
    <x v="78"/>
    <x v="33"/>
    <x v="111"/>
    <x v="158"/>
    <x v="76"/>
    <x v="403"/>
    <x v="1"/>
  </r>
  <r>
    <x v="0"/>
    <x v="58"/>
    <x v="58"/>
    <x v="0"/>
    <x v="0"/>
    <x v="0"/>
    <x v="0"/>
    <x v="89"/>
    <x v="331"/>
    <x v="106"/>
    <x v="134"/>
    <x v="115"/>
    <x v="404"/>
    <x v="1"/>
  </r>
  <r>
    <x v="0"/>
    <x v="58"/>
    <x v="58"/>
    <x v="1"/>
    <x v="1"/>
    <x v="1"/>
    <x v="1"/>
    <x v="62"/>
    <x v="332"/>
    <x v="112"/>
    <x v="509"/>
    <x v="72"/>
    <x v="317"/>
    <x v="1"/>
  </r>
  <r>
    <x v="0"/>
    <x v="58"/>
    <x v="58"/>
    <x v="10"/>
    <x v="10"/>
    <x v="10"/>
    <x v="2"/>
    <x v="157"/>
    <x v="262"/>
    <x v="119"/>
    <x v="77"/>
    <x v="64"/>
    <x v="136"/>
    <x v="1"/>
  </r>
  <r>
    <x v="0"/>
    <x v="58"/>
    <x v="58"/>
    <x v="3"/>
    <x v="3"/>
    <x v="3"/>
    <x v="2"/>
    <x v="157"/>
    <x v="262"/>
    <x v="189"/>
    <x v="222"/>
    <x v="66"/>
    <x v="143"/>
    <x v="1"/>
  </r>
  <r>
    <x v="0"/>
    <x v="58"/>
    <x v="58"/>
    <x v="5"/>
    <x v="5"/>
    <x v="5"/>
    <x v="4"/>
    <x v="123"/>
    <x v="112"/>
    <x v="94"/>
    <x v="342"/>
    <x v="63"/>
    <x v="283"/>
    <x v="1"/>
  </r>
  <r>
    <x v="0"/>
    <x v="58"/>
    <x v="58"/>
    <x v="2"/>
    <x v="2"/>
    <x v="2"/>
    <x v="5"/>
    <x v="124"/>
    <x v="333"/>
    <x v="94"/>
    <x v="342"/>
    <x v="66"/>
    <x v="143"/>
    <x v="1"/>
  </r>
  <r>
    <x v="0"/>
    <x v="58"/>
    <x v="58"/>
    <x v="9"/>
    <x v="9"/>
    <x v="9"/>
    <x v="6"/>
    <x v="69"/>
    <x v="58"/>
    <x v="110"/>
    <x v="109"/>
    <x v="67"/>
    <x v="135"/>
    <x v="1"/>
  </r>
  <r>
    <x v="0"/>
    <x v="58"/>
    <x v="58"/>
    <x v="7"/>
    <x v="7"/>
    <x v="7"/>
    <x v="7"/>
    <x v="52"/>
    <x v="212"/>
    <x v="110"/>
    <x v="109"/>
    <x v="44"/>
    <x v="3"/>
    <x v="1"/>
  </r>
  <r>
    <x v="0"/>
    <x v="58"/>
    <x v="58"/>
    <x v="8"/>
    <x v="8"/>
    <x v="8"/>
    <x v="8"/>
    <x v="53"/>
    <x v="4"/>
    <x v="58"/>
    <x v="197"/>
    <x v="72"/>
    <x v="317"/>
    <x v="1"/>
  </r>
  <r>
    <x v="0"/>
    <x v="58"/>
    <x v="58"/>
    <x v="6"/>
    <x v="6"/>
    <x v="6"/>
    <x v="9"/>
    <x v="55"/>
    <x v="24"/>
    <x v="102"/>
    <x v="545"/>
    <x v="72"/>
    <x v="317"/>
    <x v="1"/>
  </r>
  <r>
    <x v="0"/>
    <x v="58"/>
    <x v="58"/>
    <x v="4"/>
    <x v="4"/>
    <x v="4"/>
    <x v="10"/>
    <x v="57"/>
    <x v="205"/>
    <x v="53"/>
    <x v="127"/>
    <x v="107"/>
    <x v="405"/>
    <x v="1"/>
  </r>
  <r>
    <x v="0"/>
    <x v="58"/>
    <x v="58"/>
    <x v="13"/>
    <x v="13"/>
    <x v="13"/>
    <x v="11"/>
    <x v="71"/>
    <x v="28"/>
    <x v="57"/>
    <x v="204"/>
    <x v="59"/>
    <x v="398"/>
    <x v="1"/>
  </r>
  <r>
    <x v="0"/>
    <x v="58"/>
    <x v="58"/>
    <x v="18"/>
    <x v="18"/>
    <x v="18"/>
    <x v="12"/>
    <x v="68"/>
    <x v="77"/>
    <x v="67"/>
    <x v="270"/>
    <x v="75"/>
    <x v="393"/>
    <x v="1"/>
  </r>
  <r>
    <x v="0"/>
    <x v="58"/>
    <x v="58"/>
    <x v="16"/>
    <x v="16"/>
    <x v="16"/>
    <x v="13"/>
    <x v="103"/>
    <x v="89"/>
    <x v="55"/>
    <x v="75"/>
    <x v="50"/>
    <x v="311"/>
    <x v="1"/>
  </r>
  <r>
    <x v="0"/>
    <x v="58"/>
    <x v="58"/>
    <x v="11"/>
    <x v="11"/>
    <x v="11"/>
    <x v="13"/>
    <x v="103"/>
    <x v="89"/>
    <x v="104"/>
    <x v="554"/>
    <x v="56"/>
    <x v="301"/>
    <x v="1"/>
  </r>
  <r>
    <x v="0"/>
    <x v="58"/>
    <x v="58"/>
    <x v="14"/>
    <x v="14"/>
    <x v="14"/>
    <x v="15"/>
    <x v="107"/>
    <x v="208"/>
    <x v="52"/>
    <x v="194"/>
    <x v="74"/>
    <x v="21"/>
    <x v="1"/>
  </r>
  <r>
    <x v="0"/>
    <x v="58"/>
    <x v="58"/>
    <x v="12"/>
    <x v="12"/>
    <x v="12"/>
    <x v="16"/>
    <x v="72"/>
    <x v="49"/>
    <x v="75"/>
    <x v="19"/>
    <x v="97"/>
    <x v="406"/>
    <x v="1"/>
  </r>
  <r>
    <x v="0"/>
    <x v="58"/>
    <x v="58"/>
    <x v="63"/>
    <x v="63"/>
    <x v="63"/>
    <x v="17"/>
    <x v="108"/>
    <x v="99"/>
    <x v="46"/>
    <x v="145"/>
    <x v="74"/>
    <x v="21"/>
    <x v="1"/>
  </r>
  <r>
    <x v="0"/>
    <x v="58"/>
    <x v="58"/>
    <x v="59"/>
    <x v="59"/>
    <x v="59"/>
    <x v="18"/>
    <x v="75"/>
    <x v="108"/>
    <x v="60"/>
    <x v="289"/>
    <x v="108"/>
    <x v="399"/>
    <x v="1"/>
  </r>
  <r>
    <x v="0"/>
    <x v="58"/>
    <x v="58"/>
    <x v="31"/>
    <x v="31"/>
    <x v="31"/>
    <x v="19"/>
    <x v="76"/>
    <x v="14"/>
    <x v="52"/>
    <x v="194"/>
    <x v="66"/>
    <x v="143"/>
    <x v="1"/>
  </r>
  <r>
    <x v="0"/>
    <x v="58"/>
    <x v="58"/>
    <x v="23"/>
    <x v="23"/>
    <x v="23"/>
    <x v="19"/>
    <x v="76"/>
    <x v="14"/>
    <x v="55"/>
    <x v="75"/>
    <x v="108"/>
    <x v="399"/>
    <x v="1"/>
  </r>
  <r>
    <x v="0"/>
    <x v="59"/>
    <x v="59"/>
    <x v="0"/>
    <x v="0"/>
    <x v="0"/>
    <x v="0"/>
    <x v="288"/>
    <x v="334"/>
    <x v="195"/>
    <x v="472"/>
    <x v="204"/>
    <x v="20"/>
    <x v="6"/>
  </r>
  <r>
    <x v="0"/>
    <x v="59"/>
    <x v="59"/>
    <x v="1"/>
    <x v="1"/>
    <x v="1"/>
    <x v="1"/>
    <x v="289"/>
    <x v="298"/>
    <x v="157"/>
    <x v="292"/>
    <x v="175"/>
    <x v="193"/>
    <x v="1"/>
  </r>
  <r>
    <x v="0"/>
    <x v="59"/>
    <x v="59"/>
    <x v="4"/>
    <x v="4"/>
    <x v="4"/>
    <x v="2"/>
    <x v="290"/>
    <x v="2"/>
    <x v="64"/>
    <x v="185"/>
    <x v="205"/>
    <x v="407"/>
    <x v="1"/>
  </r>
  <r>
    <x v="0"/>
    <x v="59"/>
    <x v="59"/>
    <x v="2"/>
    <x v="2"/>
    <x v="2"/>
    <x v="3"/>
    <x v="291"/>
    <x v="44"/>
    <x v="219"/>
    <x v="495"/>
    <x v="135"/>
    <x v="14"/>
    <x v="1"/>
  </r>
  <r>
    <x v="0"/>
    <x v="59"/>
    <x v="59"/>
    <x v="5"/>
    <x v="5"/>
    <x v="5"/>
    <x v="4"/>
    <x v="270"/>
    <x v="232"/>
    <x v="220"/>
    <x v="423"/>
    <x v="75"/>
    <x v="27"/>
    <x v="1"/>
  </r>
  <r>
    <x v="0"/>
    <x v="59"/>
    <x v="59"/>
    <x v="3"/>
    <x v="3"/>
    <x v="3"/>
    <x v="5"/>
    <x v="292"/>
    <x v="107"/>
    <x v="221"/>
    <x v="318"/>
    <x v="43"/>
    <x v="272"/>
    <x v="1"/>
  </r>
  <r>
    <x v="0"/>
    <x v="59"/>
    <x v="59"/>
    <x v="7"/>
    <x v="7"/>
    <x v="7"/>
    <x v="6"/>
    <x v="293"/>
    <x v="335"/>
    <x v="222"/>
    <x v="555"/>
    <x v="74"/>
    <x v="17"/>
    <x v="1"/>
  </r>
  <r>
    <x v="0"/>
    <x v="59"/>
    <x v="59"/>
    <x v="40"/>
    <x v="40"/>
    <x v="40"/>
    <x v="7"/>
    <x v="294"/>
    <x v="233"/>
    <x v="89"/>
    <x v="376"/>
    <x v="122"/>
    <x v="255"/>
    <x v="1"/>
  </r>
  <r>
    <x v="0"/>
    <x v="59"/>
    <x v="59"/>
    <x v="9"/>
    <x v="9"/>
    <x v="9"/>
    <x v="8"/>
    <x v="286"/>
    <x v="11"/>
    <x v="184"/>
    <x v="171"/>
    <x v="89"/>
    <x v="104"/>
    <x v="1"/>
  </r>
  <r>
    <x v="0"/>
    <x v="59"/>
    <x v="59"/>
    <x v="8"/>
    <x v="8"/>
    <x v="8"/>
    <x v="9"/>
    <x v="295"/>
    <x v="209"/>
    <x v="223"/>
    <x v="556"/>
    <x v="180"/>
    <x v="23"/>
    <x v="1"/>
  </r>
  <r>
    <x v="0"/>
    <x v="59"/>
    <x v="59"/>
    <x v="52"/>
    <x v="52"/>
    <x v="52"/>
    <x v="10"/>
    <x v="296"/>
    <x v="12"/>
    <x v="62"/>
    <x v="557"/>
    <x v="196"/>
    <x v="408"/>
    <x v="1"/>
  </r>
  <r>
    <x v="0"/>
    <x v="59"/>
    <x v="59"/>
    <x v="50"/>
    <x v="50"/>
    <x v="50"/>
    <x v="10"/>
    <x v="296"/>
    <x v="12"/>
    <x v="118"/>
    <x v="204"/>
    <x v="127"/>
    <x v="409"/>
    <x v="1"/>
  </r>
  <r>
    <x v="0"/>
    <x v="59"/>
    <x v="59"/>
    <x v="6"/>
    <x v="6"/>
    <x v="6"/>
    <x v="10"/>
    <x v="296"/>
    <x v="12"/>
    <x v="12"/>
    <x v="261"/>
    <x v="52"/>
    <x v="294"/>
    <x v="1"/>
  </r>
  <r>
    <x v="0"/>
    <x v="59"/>
    <x v="59"/>
    <x v="12"/>
    <x v="12"/>
    <x v="12"/>
    <x v="13"/>
    <x v="284"/>
    <x v="137"/>
    <x v="52"/>
    <x v="87"/>
    <x v="126"/>
    <x v="410"/>
    <x v="0"/>
  </r>
  <r>
    <x v="0"/>
    <x v="59"/>
    <x v="59"/>
    <x v="79"/>
    <x v="79"/>
    <x v="79"/>
    <x v="14"/>
    <x v="109"/>
    <x v="34"/>
    <x v="140"/>
    <x v="196"/>
    <x v="206"/>
    <x v="269"/>
    <x v="1"/>
  </r>
  <r>
    <x v="0"/>
    <x v="59"/>
    <x v="59"/>
    <x v="15"/>
    <x v="15"/>
    <x v="15"/>
    <x v="15"/>
    <x v="273"/>
    <x v="109"/>
    <x v="99"/>
    <x v="420"/>
    <x v="207"/>
    <x v="303"/>
    <x v="1"/>
  </r>
  <r>
    <x v="0"/>
    <x v="59"/>
    <x v="59"/>
    <x v="22"/>
    <x v="22"/>
    <x v="22"/>
    <x v="15"/>
    <x v="273"/>
    <x v="109"/>
    <x v="172"/>
    <x v="159"/>
    <x v="208"/>
    <x v="261"/>
    <x v="1"/>
  </r>
  <r>
    <x v="0"/>
    <x v="59"/>
    <x v="59"/>
    <x v="27"/>
    <x v="27"/>
    <x v="27"/>
    <x v="17"/>
    <x v="279"/>
    <x v="37"/>
    <x v="185"/>
    <x v="362"/>
    <x v="122"/>
    <x v="255"/>
    <x v="1"/>
  </r>
  <r>
    <x v="0"/>
    <x v="59"/>
    <x v="59"/>
    <x v="11"/>
    <x v="11"/>
    <x v="11"/>
    <x v="18"/>
    <x v="297"/>
    <x v="17"/>
    <x v="84"/>
    <x v="558"/>
    <x v="63"/>
    <x v="365"/>
    <x v="1"/>
  </r>
  <r>
    <x v="0"/>
    <x v="59"/>
    <x v="59"/>
    <x v="10"/>
    <x v="10"/>
    <x v="10"/>
    <x v="19"/>
    <x v="298"/>
    <x v="250"/>
    <x v="151"/>
    <x v="559"/>
    <x v="129"/>
    <x v="253"/>
    <x v="6"/>
  </r>
  <r>
    <x v="0"/>
    <x v="60"/>
    <x v="60"/>
    <x v="1"/>
    <x v="1"/>
    <x v="1"/>
    <x v="0"/>
    <x v="47"/>
    <x v="336"/>
    <x v="77"/>
    <x v="560"/>
    <x v="56"/>
    <x v="3"/>
    <x v="1"/>
  </r>
  <r>
    <x v="0"/>
    <x v="60"/>
    <x v="60"/>
    <x v="0"/>
    <x v="0"/>
    <x v="0"/>
    <x v="1"/>
    <x v="134"/>
    <x v="337"/>
    <x v="73"/>
    <x v="0"/>
    <x v="50"/>
    <x v="411"/>
    <x v="1"/>
  </r>
  <r>
    <x v="0"/>
    <x v="60"/>
    <x v="60"/>
    <x v="10"/>
    <x v="10"/>
    <x v="10"/>
    <x v="2"/>
    <x v="54"/>
    <x v="192"/>
    <x v="100"/>
    <x v="561"/>
    <x v="63"/>
    <x v="199"/>
    <x v="1"/>
  </r>
  <r>
    <x v="0"/>
    <x v="60"/>
    <x v="60"/>
    <x v="2"/>
    <x v="2"/>
    <x v="2"/>
    <x v="3"/>
    <x v="67"/>
    <x v="125"/>
    <x v="48"/>
    <x v="562"/>
    <x v="56"/>
    <x v="3"/>
    <x v="1"/>
  </r>
  <r>
    <x v="0"/>
    <x v="60"/>
    <x v="60"/>
    <x v="63"/>
    <x v="63"/>
    <x v="63"/>
    <x v="4"/>
    <x v="107"/>
    <x v="96"/>
    <x v="54"/>
    <x v="137"/>
    <x v="72"/>
    <x v="373"/>
    <x v="1"/>
  </r>
  <r>
    <x v="0"/>
    <x v="60"/>
    <x v="60"/>
    <x v="38"/>
    <x v="38"/>
    <x v="38"/>
    <x v="5"/>
    <x v="104"/>
    <x v="338"/>
    <x v="68"/>
    <x v="58"/>
    <x v="97"/>
    <x v="412"/>
    <x v="1"/>
  </r>
  <r>
    <x v="0"/>
    <x v="60"/>
    <x v="60"/>
    <x v="5"/>
    <x v="5"/>
    <x v="5"/>
    <x v="5"/>
    <x v="104"/>
    <x v="338"/>
    <x v="80"/>
    <x v="544"/>
    <x v="56"/>
    <x v="3"/>
    <x v="1"/>
  </r>
  <r>
    <x v="0"/>
    <x v="60"/>
    <x v="60"/>
    <x v="8"/>
    <x v="8"/>
    <x v="8"/>
    <x v="7"/>
    <x v="73"/>
    <x v="75"/>
    <x v="52"/>
    <x v="282"/>
    <x v="67"/>
    <x v="116"/>
    <x v="1"/>
  </r>
  <r>
    <x v="0"/>
    <x v="60"/>
    <x v="60"/>
    <x v="7"/>
    <x v="7"/>
    <x v="7"/>
    <x v="7"/>
    <x v="73"/>
    <x v="75"/>
    <x v="79"/>
    <x v="563"/>
    <x v="66"/>
    <x v="27"/>
    <x v="1"/>
  </r>
  <r>
    <x v="0"/>
    <x v="60"/>
    <x v="60"/>
    <x v="9"/>
    <x v="9"/>
    <x v="9"/>
    <x v="9"/>
    <x v="75"/>
    <x v="45"/>
    <x v="52"/>
    <x v="282"/>
    <x v="44"/>
    <x v="285"/>
    <x v="1"/>
  </r>
  <r>
    <x v="0"/>
    <x v="60"/>
    <x v="60"/>
    <x v="3"/>
    <x v="3"/>
    <x v="3"/>
    <x v="10"/>
    <x v="76"/>
    <x v="8"/>
    <x v="81"/>
    <x v="313"/>
    <x v="73"/>
    <x v="72"/>
    <x v="1"/>
  </r>
  <r>
    <x v="0"/>
    <x v="60"/>
    <x v="60"/>
    <x v="24"/>
    <x v="24"/>
    <x v="24"/>
    <x v="11"/>
    <x v="238"/>
    <x v="147"/>
    <x v="75"/>
    <x v="69"/>
    <x v="43"/>
    <x v="367"/>
    <x v="1"/>
  </r>
  <r>
    <x v="0"/>
    <x v="60"/>
    <x v="60"/>
    <x v="77"/>
    <x v="77"/>
    <x v="77"/>
    <x v="11"/>
    <x v="238"/>
    <x v="147"/>
    <x v="57"/>
    <x v="442"/>
    <x v="67"/>
    <x v="116"/>
    <x v="1"/>
  </r>
  <r>
    <x v="0"/>
    <x v="60"/>
    <x v="60"/>
    <x v="14"/>
    <x v="14"/>
    <x v="14"/>
    <x v="13"/>
    <x v="235"/>
    <x v="134"/>
    <x v="83"/>
    <x v="307"/>
    <x v="63"/>
    <x v="199"/>
    <x v="1"/>
  </r>
  <r>
    <x v="0"/>
    <x v="60"/>
    <x v="60"/>
    <x v="15"/>
    <x v="15"/>
    <x v="15"/>
    <x v="14"/>
    <x v="78"/>
    <x v="135"/>
    <x v="68"/>
    <x v="58"/>
    <x v="54"/>
    <x v="335"/>
    <x v="1"/>
  </r>
  <r>
    <x v="0"/>
    <x v="60"/>
    <x v="60"/>
    <x v="47"/>
    <x v="47"/>
    <x v="47"/>
    <x v="14"/>
    <x v="78"/>
    <x v="135"/>
    <x v="67"/>
    <x v="285"/>
    <x v="56"/>
    <x v="3"/>
    <x v="1"/>
  </r>
  <r>
    <x v="0"/>
    <x v="60"/>
    <x v="60"/>
    <x v="83"/>
    <x v="83"/>
    <x v="83"/>
    <x v="16"/>
    <x v="79"/>
    <x v="80"/>
    <x v="71"/>
    <x v="257"/>
    <x v="61"/>
    <x v="31"/>
    <x v="1"/>
  </r>
  <r>
    <x v="0"/>
    <x v="60"/>
    <x v="60"/>
    <x v="73"/>
    <x v="73"/>
    <x v="73"/>
    <x v="17"/>
    <x v="239"/>
    <x v="109"/>
    <x v="68"/>
    <x v="58"/>
    <x v="74"/>
    <x v="363"/>
    <x v="1"/>
  </r>
  <r>
    <x v="0"/>
    <x v="60"/>
    <x v="60"/>
    <x v="41"/>
    <x v="41"/>
    <x v="41"/>
    <x v="17"/>
    <x v="239"/>
    <x v="109"/>
    <x v="57"/>
    <x v="442"/>
    <x v="56"/>
    <x v="3"/>
    <x v="1"/>
  </r>
  <r>
    <x v="0"/>
    <x v="60"/>
    <x v="60"/>
    <x v="59"/>
    <x v="59"/>
    <x v="59"/>
    <x v="19"/>
    <x v="240"/>
    <x v="149"/>
    <x v="68"/>
    <x v="58"/>
    <x v="61"/>
    <x v="31"/>
    <x v="1"/>
  </r>
  <r>
    <x v="0"/>
    <x v="60"/>
    <x v="60"/>
    <x v="45"/>
    <x v="45"/>
    <x v="45"/>
    <x v="19"/>
    <x v="240"/>
    <x v="149"/>
    <x v="86"/>
    <x v="564"/>
    <x v="56"/>
    <x v="3"/>
    <x v="1"/>
  </r>
  <r>
    <x v="0"/>
    <x v="61"/>
    <x v="61"/>
    <x v="0"/>
    <x v="0"/>
    <x v="0"/>
    <x v="0"/>
    <x v="91"/>
    <x v="339"/>
    <x v="121"/>
    <x v="565"/>
    <x v="51"/>
    <x v="413"/>
    <x v="1"/>
  </r>
  <r>
    <x v="0"/>
    <x v="61"/>
    <x v="61"/>
    <x v="1"/>
    <x v="1"/>
    <x v="1"/>
    <x v="1"/>
    <x v="101"/>
    <x v="340"/>
    <x v="87"/>
    <x v="566"/>
    <x v="63"/>
    <x v="158"/>
    <x v="1"/>
  </r>
  <r>
    <x v="0"/>
    <x v="61"/>
    <x v="61"/>
    <x v="10"/>
    <x v="10"/>
    <x v="10"/>
    <x v="2"/>
    <x v="132"/>
    <x v="341"/>
    <x v="119"/>
    <x v="176"/>
    <x v="63"/>
    <x v="158"/>
    <x v="1"/>
  </r>
  <r>
    <x v="0"/>
    <x v="61"/>
    <x v="61"/>
    <x v="3"/>
    <x v="3"/>
    <x v="3"/>
    <x v="3"/>
    <x v="67"/>
    <x v="130"/>
    <x v="101"/>
    <x v="396"/>
    <x v="73"/>
    <x v="72"/>
    <x v="1"/>
  </r>
  <r>
    <x v="0"/>
    <x v="61"/>
    <x v="61"/>
    <x v="4"/>
    <x v="4"/>
    <x v="4"/>
    <x v="4"/>
    <x v="70"/>
    <x v="239"/>
    <x v="51"/>
    <x v="464"/>
    <x v="75"/>
    <x v="288"/>
    <x v="1"/>
  </r>
  <r>
    <x v="0"/>
    <x v="61"/>
    <x v="61"/>
    <x v="9"/>
    <x v="9"/>
    <x v="9"/>
    <x v="5"/>
    <x v="103"/>
    <x v="198"/>
    <x v="54"/>
    <x v="258"/>
    <x v="61"/>
    <x v="414"/>
    <x v="1"/>
  </r>
  <r>
    <x v="0"/>
    <x v="61"/>
    <x v="61"/>
    <x v="8"/>
    <x v="8"/>
    <x v="8"/>
    <x v="6"/>
    <x v="72"/>
    <x v="182"/>
    <x v="64"/>
    <x v="242"/>
    <x v="74"/>
    <x v="318"/>
    <x v="1"/>
  </r>
  <r>
    <x v="0"/>
    <x v="61"/>
    <x v="61"/>
    <x v="2"/>
    <x v="2"/>
    <x v="2"/>
    <x v="7"/>
    <x v="108"/>
    <x v="45"/>
    <x v="64"/>
    <x v="242"/>
    <x v="67"/>
    <x v="415"/>
    <x v="1"/>
  </r>
  <r>
    <x v="0"/>
    <x v="61"/>
    <x v="61"/>
    <x v="5"/>
    <x v="5"/>
    <x v="5"/>
    <x v="8"/>
    <x v="75"/>
    <x v="62"/>
    <x v="96"/>
    <x v="485"/>
    <x v="73"/>
    <x v="72"/>
    <x v="1"/>
  </r>
  <r>
    <x v="0"/>
    <x v="61"/>
    <x v="61"/>
    <x v="59"/>
    <x v="59"/>
    <x v="59"/>
    <x v="9"/>
    <x v="233"/>
    <x v="118"/>
    <x v="75"/>
    <x v="53"/>
    <x v="52"/>
    <x v="213"/>
    <x v="1"/>
  </r>
  <r>
    <x v="0"/>
    <x v="61"/>
    <x v="61"/>
    <x v="7"/>
    <x v="7"/>
    <x v="7"/>
    <x v="9"/>
    <x v="233"/>
    <x v="118"/>
    <x v="81"/>
    <x v="567"/>
    <x v="66"/>
    <x v="61"/>
    <x v="1"/>
  </r>
  <r>
    <x v="0"/>
    <x v="61"/>
    <x v="61"/>
    <x v="38"/>
    <x v="38"/>
    <x v="38"/>
    <x v="11"/>
    <x v="234"/>
    <x v="155"/>
    <x v="53"/>
    <x v="57"/>
    <x v="75"/>
    <x v="288"/>
    <x v="1"/>
  </r>
  <r>
    <x v="0"/>
    <x v="61"/>
    <x v="61"/>
    <x v="16"/>
    <x v="16"/>
    <x v="16"/>
    <x v="11"/>
    <x v="234"/>
    <x v="155"/>
    <x v="53"/>
    <x v="57"/>
    <x v="75"/>
    <x v="288"/>
    <x v="1"/>
  </r>
  <r>
    <x v="0"/>
    <x v="61"/>
    <x v="61"/>
    <x v="11"/>
    <x v="11"/>
    <x v="11"/>
    <x v="13"/>
    <x v="77"/>
    <x v="10"/>
    <x v="97"/>
    <x v="568"/>
    <x v="73"/>
    <x v="72"/>
    <x v="1"/>
  </r>
  <r>
    <x v="0"/>
    <x v="61"/>
    <x v="61"/>
    <x v="47"/>
    <x v="47"/>
    <x v="47"/>
    <x v="14"/>
    <x v="235"/>
    <x v="30"/>
    <x v="57"/>
    <x v="403"/>
    <x v="46"/>
    <x v="162"/>
    <x v="1"/>
  </r>
  <r>
    <x v="0"/>
    <x v="61"/>
    <x v="61"/>
    <x v="15"/>
    <x v="15"/>
    <x v="15"/>
    <x v="15"/>
    <x v="79"/>
    <x v="67"/>
    <x v="68"/>
    <x v="364"/>
    <x v="69"/>
    <x v="302"/>
    <x v="1"/>
  </r>
  <r>
    <x v="0"/>
    <x v="61"/>
    <x v="61"/>
    <x v="24"/>
    <x v="24"/>
    <x v="24"/>
    <x v="15"/>
    <x v="79"/>
    <x v="67"/>
    <x v="68"/>
    <x v="364"/>
    <x v="69"/>
    <x v="302"/>
    <x v="1"/>
  </r>
  <r>
    <x v="0"/>
    <x v="61"/>
    <x v="61"/>
    <x v="44"/>
    <x v="44"/>
    <x v="44"/>
    <x v="15"/>
    <x v="79"/>
    <x v="67"/>
    <x v="71"/>
    <x v="321"/>
    <x v="61"/>
    <x v="414"/>
    <x v="1"/>
  </r>
  <r>
    <x v="0"/>
    <x v="61"/>
    <x v="61"/>
    <x v="14"/>
    <x v="14"/>
    <x v="14"/>
    <x v="18"/>
    <x v="239"/>
    <x v="16"/>
    <x v="86"/>
    <x v="286"/>
    <x v="44"/>
    <x v="299"/>
    <x v="1"/>
  </r>
  <r>
    <x v="0"/>
    <x v="61"/>
    <x v="61"/>
    <x v="6"/>
    <x v="6"/>
    <x v="6"/>
    <x v="18"/>
    <x v="239"/>
    <x v="16"/>
    <x v="83"/>
    <x v="194"/>
    <x v="66"/>
    <x v="61"/>
    <x v="1"/>
  </r>
  <r>
    <x v="0"/>
    <x v="62"/>
    <x v="62"/>
    <x v="1"/>
    <x v="1"/>
    <x v="1"/>
    <x v="0"/>
    <x v="64"/>
    <x v="342"/>
    <x v="133"/>
    <x v="436"/>
    <x v="63"/>
    <x v="1"/>
    <x v="1"/>
  </r>
  <r>
    <x v="0"/>
    <x v="62"/>
    <x v="62"/>
    <x v="9"/>
    <x v="9"/>
    <x v="9"/>
    <x v="1"/>
    <x v="102"/>
    <x v="251"/>
    <x v="95"/>
    <x v="569"/>
    <x v="69"/>
    <x v="94"/>
    <x v="1"/>
  </r>
  <r>
    <x v="0"/>
    <x v="62"/>
    <x v="62"/>
    <x v="2"/>
    <x v="2"/>
    <x v="2"/>
    <x v="2"/>
    <x v="124"/>
    <x v="343"/>
    <x v="78"/>
    <x v="291"/>
    <x v="44"/>
    <x v="308"/>
    <x v="1"/>
  </r>
  <r>
    <x v="0"/>
    <x v="62"/>
    <x v="62"/>
    <x v="0"/>
    <x v="0"/>
    <x v="0"/>
    <x v="3"/>
    <x v="106"/>
    <x v="72"/>
    <x v="74"/>
    <x v="186"/>
    <x v="49"/>
    <x v="416"/>
    <x v="1"/>
  </r>
  <r>
    <x v="0"/>
    <x v="62"/>
    <x v="62"/>
    <x v="8"/>
    <x v="8"/>
    <x v="8"/>
    <x v="4"/>
    <x v="103"/>
    <x v="198"/>
    <x v="81"/>
    <x v="82"/>
    <x v="74"/>
    <x v="169"/>
    <x v="1"/>
  </r>
  <r>
    <x v="0"/>
    <x v="62"/>
    <x v="62"/>
    <x v="15"/>
    <x v="15"/>
    <x v="15"/>
    <x v="5"/>
    <x v="104"/>
    <x v="5"/>
    <x v="68"/>
    <x v="75"/>
    <x v="97"/>
    <x v="228"/>
    <x v="1"/>
  </r>
  <r>
    <x v="0"/>
    <x v="62"/>
    <x v="62"/>
    <x v="5"/>
    <x v="5"/>
    <x v="5"/>
    <x v="6"/>
    <x v="72"/>
    <x v="182"/>
    <x v="96"/>
    <x v="535"/>
    <x v="63"/>
    <x v="1"/>
    <x v="1"/>
  </r>
  <r>
    <x v="0"/>
    <x v="62"/>
    <x v="62"/>
    <x v="38"/>
    <x v="38"/>
    <x v="38"/>
    <x v="7"/>
    <x v="73"/>
    <x v="190"/>
    <x v="75"/>
    <x v="296"/>
    <x v="50"/>
    <x v="220"/>
    <x v="1"/>
  </r>
  <r>
    <x v="0"/>
    <x v="62"/>
    <x v="62"/>
    <x v="7"/>
    <x v="7"/>
    <x v="7"/>
    <x v="8"/>
    <x v="74"/>
    <x v="106"/>
    <x v="79"/>
    <x v="149"/>
    <x v="73"/>
    <x v="72"/>
    <x v="1"/>
  </r>
  <r>
    <x v="0"/>
    <x v="62"/>
    <x v="62"/>
    <x v="47"/>
    <x v="47"/>
    <x v="47"/>
    <x v="9"/>
    <x v="108"/>
    <x v="45"/>
    <x v="51"/>
    <x v="570"/>
    <x v="61"/>
    <x v="340"/>
    <x v="1"/>
  </r>
  <r>
    <x v="0"/>
    <x v="62"/>
    <x v="62"/>
    <x v="63"/>
    <x v="63"/>
    <x v="63"/>
    <x v="10"/>
    <x v="233"/>
    <x v="118"/>
    <x v="51"/>
    <x v="570"/>
    <x v="67"/>
    <x v="321"/>
    <x v="1"/>
  </r>
  <r>
    <x v="0"/>
    <x v="62"/>
    <x v="62"/>
    <x v="3"/>
    <x v="3"/>
    <x v="3"/>
    <x v="11"/>
    <x v="76"/>
    <x v="165"/>
    <x v="97"/>
    <x v="68"/>
    <x v="56"/>
    <x v="98"/>
    <x v="1"/>
  </r>
  <r>
    <x v="0"/>
    <x v="62"/>
    <x v="62"/>
    <x v="16"/>
    <x v="16"/>
    <x v="16"/>
    <x v="12"/>
    <x v="77"/>
    <x v="10"/>
    <x v="71"/>
    <x v="491"/>
    <x v="48"/>
    <x v="192"/>
    <x v="1"/>
  </r>
  <r>
    <x v="0"/>
    <x v="62"/>
    <x v="62"/>
    <x v="24"/>
    <x v="24"/>
    <x v="24"/>
    <x v="12"/>
    <x v="77"/>
    <x v="10"/>
    <x v="59"/>
    <x v="375"/>
    <x v="108"/>
    <x v="260"/>
    <x v="1"/>
  </r>
  <r>
    <x v="0"/>
    <x v="62"/>
    <x v="62"/>
    <x v="10"/>
    <x v="10"/>
    <x v="10"/>
    <x v="14"/>
    <x v="238"/>
    <x v="91"/>
    <x v="57"/>
    <x v="112"/>
    <x v="67"/>
    <x v="321"/>
    <x v="1"/>
  </r>
  <r>
    <x v="0"/>
    <x v="62"/>
    <x v="62"/>
    <x v="4"/>
    <x v="4"/>
    <x v="4"/>
    <x v="15"/>
    <x v="235"/>
    <x v="30"/>
    <x v="53"/>
    <x v="181"/>
    <x v="43"/>
    <x v="402"/>
    <x v="1"/>
  </r>
  <r>
    <x v="0"/>
    <x v="62"/>
    <x v="62"/>
    <x v="12"/>
    <x v="12"/>
    <x v="12"/>
    <x v="15"/>
    <x v="235"/>
    <x v="30"/>
    <x v="111"/>
    <x v="158"/>
    <x v="75"/>
    <x v="311"/>
    <x v="1"/>
  </r>
  <r>
    <x v="0"/>
    <x v="62"/>
    <x v="62"/>
    <x v="45"/>
    <x v="45"/>
    <x v="45"/>
    <x v="17"/>
    <x v="79"/>
    <x v="67"/>
    <x v="57"/>
    <x v="112"/>
    <x v="44"/>
    <x v="308"/>
    <x v="1"/>
  </r>
  <r>
    <x v="0"/>
    <x v="62"/>
    <x v="62"/>
    <x v="73"/>
    <x v="73"/>
    <x v="73"/>
    <x v="18"/>
    <x v="239"/>
    <x v="16"/>
    <x v="75"/>
    <x v="296"/>
    <x v="69"/>
    <x v="94"/>
    <x v="1"/>
  </r>
  <r>
    <x v="0"/>
    <x v="62"/>
    <x v="62"/>
    <x v="43"/>
    <x v="43"/>
    <x v="43"/>
    <x v="18"/>
    <x v="239"/>
    <x v="16"/>
    <x v="71"/>
    <x v="491"/>
    <x v="72"/>
    <x v="126"/>
    <x v="1"/>
  </r>
  <r>
    <x v="0"/>
    <x v="62"/>
    <x v="62"/>
    <x v="44"/>
    <x v="44"/>
    <x v="44"/>
    <x v="18"/>
    <x v="239"/>
    <x v="16"/>
    <x v="71"/>
    <x v="491"/>
    <x v="72"/>
    <x v="126"/>
    <x v="1"/>
  </r>
  <r>
    <x v="0"/>
    <x v="63"/>
    <x v="63"/>
    <x v="0"/>
    <x v="0"/>
    <x v="0"/>
    <x v="0"/>
    <x v="157"/>
    <x v="344"/>
    <x v="113"/>
    <x v="571"/>
    <x v="65"/>
    <x v="417"/>
    <x v="1"/>
  </r>
  <r>
    <x v="0"/>
    <x v="63"/>
    <x v="63"/>
    <x v="1"/>
    <x v="1"/>
    <x v="1"/>
    <x v="1"/>
    <x v="102"/>
    <x v="345"/>
    <x v="95"/>
    <x v="572"/>
    <x v="69"/>
    <x v="386"/>
    <x v="1"/>
  </r>
  <r>
    <x v="0"/>
    <x v="63"/>
    <x v="63"/>
    <x v="9"/>
    <x v="9"/>
    <x v="9"/>
    <x v="2"/>
    <x v="51"/>
    <x v="346"/>
    <x v="101"/>
    <x v="573"/>
    <x v="74"/>
    <x v="15"/>
    <x v="1"/>
  </r>
  <r>
    <x v="0"/>
    <x v="63"/>
    <x v="63"/>
    <x v="2"/>
    <x v="2"/>
    <x v="2"/>
    <x v="3"/>
    <x v="53"/>
    <x v="347"/>
    <x v="76"/>
    <x v="574"/>
    <x v="44"/>
    <x v="211"/>
    <x v="1"/>
  </r>
  <r>
    <x v="0"/>
    <x v="63"/>
    <x v="63"/>
    <x v="4"/>
    <x v="4"/>
    <x v="4"/>
    <x v="4"/>
    <x v="71"/>
    <x v="348"/>
    <x v="68"/>
    <x v="433"/>
    <x v="70"/>
    <x v="418"/>
    <x v="1"/>
  </r>
  <r>
    <x v="0"/>
    <x v="63"/>
    <x v="63"/>
    <x v="7"/>
    <x v="7"/>
    <x v="7"/>
    <x v="5"/>
    <x v="104"/>
    <x v="279"/>
    <x v="104"/>
    <x v="386"/>
    <x v="73"/>
    <x v="72"/>
    <x v="1"/>
  </r>
  <r>
    <x v="0"/>
    <x v="63"/>
    <x v="63"/>
    <x v="6"/>
    <x v="6"/>
    <x v="6"/>
    <x v="6"/>
    <x v="73"/>
    <x v="5"/>
    <x v="79"/>
    <x v="212"/>
    <x v="66"/>
    <x v="41"/>
    <x v="1"/>
  </r>
  <r>
    <x v="0"/>
    <x v="63"/>
    <x v="63"/>
    <x v="63"/>
    <x v="63"/>
    <x v="63"/>
    <x v="7"/>
    <x v="74"/>
    <x v="182"/>
    <x v="67"/>
    <x v="10"/>
    <x v="54"/>
    <x v="79"/>
    <x v="1"/>
  </r>
  <r>
    <x v="0"/>
    <x v="63"/>
    <x v="63"/>
    <x v="5"/>
    <x v="5"/>
    <x v="5"/>
    <x v="7"/>
    <x v="74"/>
    <x v="182"/>
    <x v="73"/>
    <x v="522"/>
    <x v="66"/>
    <x v="41"/>
    <x v="1"/>
  </r>
  <r>
    <x v="0"/>
    <x v="63"/>
    <x v="63"/>
    <x v="38"/>
    <x v="38"/>
    <x v="38"/>
    <x v="9"/>
    <x v="108"/>
    <x v="322"/>
    <x v="71"/>
    <x v="575"/>
    <x v="75"/>
    <x v="419"/>
    <x v="1"/>
  </r>
  <r>
    <x v="0"/>
    <x v="63"/>
    <x v="63"/>
    <x v="8"/>
    <x v="8"/>
    <x v="8"/>
    <x v="10"/>
    <x v="233"/>
    <x v="349"/>
    <x v="81"/>
    <x v="576"/>
    <x v="66"/>
    <x v="41"/>
    <x v="1"/>
  </r>
  <r>
    <x v="0"/>
    <x v="63"/>
    <x v="63"/>
    <x v="10"/>
    <x v="10"/>
    <x v="10"/>
    <x v="11"/>
    <x v="76"/>
    <x v="256"/>
    <x v="51"/>
    <x v="365"/>
    <x v="46"/>
    <x v="18"/>
    <x v="1"/>
  </r>
  <r>
    <x v="0"/>
    <x v="63"/>
    <x v="63"/>
    <x v="12"/>
    <x v="12"/>
    <x v="12"/>
    <x v="12"/>
    <x v="235"/>
    <x v="120"/>
    <x v="111"/>
    <x v="158"/>
    <x v="75"/>
    <x v="419"/>
    <x v="1"/>
  </r>
  <r>
    <x v="0"/>
    <x v="63"/>
    <x v="63"/>
    <x v="45"/>
    <x v="45"/>
    <x v="45"/>
    <x v="12"/>
    <x v="235"/>
    <x v="120"/>
    <x v="46"/>
    <x v="470"/>
    <x v="56"/>
    <x v="65"/>
    <x v="1"/>
  </r>
  <r>
    <x v="0"/>
    <x v="63"/>
    <x v="63"/>
    <x v="59"/>
    <x v="59"/>
    <x v="59"/>
    <x v="14"/>
    <x v="78"/>
    <x v="13"/>
    <x v="53"/>
    <x v="203"/>
    <x v="108"/>
    <x v="155"/>
    <x v="1"/>
  </r>
  <r>
    <x v="0"/>
    <x v="63"/>
    <x v="63"/>
    <x v="15"/>
    <x v="15"/>
    <x v="15"/>
    <x v="14"/>
    <x v="78"/>
    <x v="13"/>
    <x v="75"/>
    <x v="193"/>
    <x v="48"/>
    <x v="166"/>
    <x v="1"/>
  </r>
  <r>
    <x v="0"/>
    <x v="63"/>
    <x v="63"/>
    <x v="3"/>
    <x v="3"/>
    <x v="3"/>
    <x v="14"/>
    <x v="78"/>
    <x v="13"/>
    <x v="51"/>
    <x v="365"/>
    <x v="73"/>
    <x v="72"/>
    <x v="1"/>
  </r>
  <r>
    <x v="0"/>
    <x v="63"/>
    <x v="63"/>
    <x v="18"/>
    <x v="18"/>
    <x v="18"/>
    <x v="17"/>
    <x v="79"/>
    <x v="33"/>
    <x v="83"/>
    <x v="218"/>
    <x v="56"/>
    <x v="65"/>
    <x v="1"/>
  </r>
  <r>
    <x v="0"/>
    <x v="63"/>
    <x v="63"/>
    <x v="84"/>
    <x v="84"/>
    <x v="84"/>
    <x v="17"/>
    <x v="79"/>
    <x v="33"/>
    <x v="74"/>
    <x v="389"/>
    <x v="67"/>
    <x v="420"/>
    <x v="1"/>
  </r>
  <r>
    <x v="0"/>
    <x v="63"/>
    <x v="63"/>
    <x v="20"/>
    <x v="20"/>
    <x v="20"/>
    <x v="19"/>
    <x v="239"/>
    <x v="52"/>
    <x v="53"/>
    <x v="203"/>
    <x v="54"/>
    <x v="79"/>
    <x v="1"/>
  </r>
  <r>
    <x v="0"/>
    <x v="63"/>
    <x v="63"/>
    <x v="44"/>
    <x v="44"/>
    <x v="44"/>
    <x v="19"/>
    <x v="239"/>
    <x v="52"/>
    <x v="68"/>
    <x v="433"/>
    <x v="74"/>
    <x v="15"/>
    <x v="1"/>
  </r>
  <r>
    <x v="0"/>
    <x v="63"/>
    <x v="63"/>
    <x v="47"/>
    <x v="47"/>
    <x v="47"/>
    <x v="19"/>
    <x v="239"/>
    <x v="52"/>
    <x v="86"/>
    <x v="442"/>
    <x v="44"/>
    <x v="211"/>
    <x v="1"/>
  </r>
  <r>
    <x v="0"/>
    <x v="63"/>
    <x v="63"/>
    <x v="58"/>
    <x v="58"/>
    <x v="58"/>
    <x v="19"/>
    <x v="239"/>
    <x v="52"/>
    <x v="57"/>
    <x v="358"/>
    <x v="56"/>
    <x v="65"/>
    <x v="1"/>
  </r>
  <r>
    <x v="0"/>
    <x v="64"/>
    <x v="64"/>
    <x v="1"/>
    <x v="1"/>
    <x v="1"/>
    <x v="0"/>
    <x v="119"/>
    <x v="350"/>
    <x v="78"/>
    <x v="577"/>
    <x v="46"/>
    <x v="91"/>
    <x v="1"/>
  </r>
  <r>
    <x v="0"/>
    <x v="64"/>
    <x v="64"/>
    <x v="38"/>
    <x v="38"/>
    <x v="38"/>
    <x v="1"/>
    <x v="57"/>
    <x v="71"/>
    <x v="59"/>
    <x v="202"/>
    <x v="71"/>
    <x v="421"/>
    <x v="1"/>
  </r>
  <r>
    <x v="0"/>
    <x v="64"/>
    <x v="64"/>
    <x v="2"/>
    <x v="2"/>
    <x v="2"/>
    <x v="2"/>
    <x v="58"/>
    <x v="351"/>
    <x v="113"/>
    <x v="578"/>
    <x v="63"/>
    <x v="422"/>
    <x v="1"/>
  </r>
  <r>
    <x v="0"/>
    <x v="64"/>
    <x v="64"/>
    <x v="10"/>
    <x v="10"/>
    <x v="10"/>
    <x v="3"/>
    <x v="103"/>
    <x v="72"/>
    <x v="114"/>
    <x v="579"/>
    <x v="66"/>
    <x v="223"/>
    <x v="1"/>
  </r>
  <r>
    <x v="0"/>
    <x v="64"/>
    <x v="64"/>
    <x v="7"/>
    <x v="7"/>
    <x v="7"/>
    <x v="3"/>
    <x v="103"/>
    <x v="72"/>
    <x v="114"/>
    <x v="579"/>
    <x v="66"/>
    <x v="223"/>
    <x v="1"/>
  </r>
  <r>
    <x v="0"/>
    <x v="64"/>
    <x v="64"/>
    <x v="9"/>
    <x v="9"/>
    <x v="9"/>
    <x v="3"/>
    <x v="103"/>
    <x v="72"/>
    <x v="80"/>
    <x v="447"/>
    <x v="63"/>
    <x v="422"/>
    <x v="1"/>
  </r>
  <r>
    <x v="0"/>
    <x v="64"/>
    <x v="64"/>
    <x v="0"/>
    <x v="0"/>
    <x v="0"/>
    <x v="6"/>
    <x v="72"/>
    <x v="253"/>
    <x v="83"/>
    <x v="517"/>
    <x v="43"/>
    <x v="281"/>
    <x v="1"/>
  </r>
  <r>
    <x v="0"/>
    <x v="64"/>
    <x v="64"/>
    <x v="15"/>
    <x v="15"/>
    <x v="15"/>
    <x v="7"/>
    <x v="108"/>
    <x v="235"/>
    <x v="59"/>
    <x v="202"/>
    <x v="52"/>
    <x v="423"/>
    <x v="1"/>
  </r>
  <r>
    <x v="0"/>
    <x v="64"/>
    <x v="64"/>
    <x v="8"/>
    <x v="8"/>
    <x v="8"/>
    <x v="7"/>
    <x v="108"/>
    <x v="235"/>
    <x v="107"/>
    <x v="390"/>
    <x v="72"/>
    <x v="93"/>
    <x v="1"/>
  </r>
  <r>
    <x v="0"/>
    <x v="64"/>
    <x v="64"/>
    <x v="63"/>
    <x v="63"/>
    <x v="63"/>
    <x v="9"/>
    <x v="77"/>
    <x v="61"/>
    <x v="64"/>
    <x v="435"/>
    <x v="66"/>
    <x v="223"/>
    <x v="1"/>
  </r>
  <r>
    <x v="0"/>
    <x v="64"/>
    <x v="64"/>
    <x v="5"/>
    <x v="5"/>
    <x v="5"/>
    <x v="9"/>
    <x v="77"/>
    <x v="61"/>
    <x v="51"/>
    <x v="511"/>
    <x v="44"/>
    <x v="217"/>
    <x v="1"/>
  </r>
  <r>
    <x v="0"/>
    <x v="64"/>
    <x v="64"/>
    <x v="45"/>
    <x v="45"/>
    <x v="45"/>
    <x v="11"/>
    <x v="235"/>
    <x v="165"/>
    <x v="67"/>
    <x v="499"/>
    <x v="44"/>
    <x v="217"/>
    <x v="1"/>
  </r>
  <r>
    <x v="0"/>
    <x v="64"/>
    <x v="64"/>
    <x v="14"/>
    <x v="14"/>
    <x v="14"/>
    <x v="12"/>
    <x v="78"/>
    <x v="234"/>
    <x v="83"/>
    <x v="517"/>
    <x v="44"/>
    <x v="217"/>
    <x v="1"/>
  </r>
  <r>
    <x v="0"/>
    <x v="64"/>
    <x v="64"/>
    <x v="20"/>
    <x v="20"/>
    <x v="20"/>
    <x v="13"/>
    <x v="79"/>
    <x v="49"/>
    <x v="71"/>
    <x v="473"/>
    <x v="61"/>
    <x v="424"/>
    <x v="1"/>
  </r>
  <r>
    <x v="0"/>
    <x v="64"/>
    <x v="64"/>
    <x v="85"/>
    <x v="85"/>
    <x v="85"/>
    <x v="14"/>
    <x v="239"/>
    <x v="13"/>
    <x v="57"/>
    <x v="274"/>
    <x v="56"/>
    <x v="171"/>
    <x v="1"/>
  </r>
  <r>
    <x v="0"/>
    <x v="64"/>
    <x v="64"/>
    <x v="16"/>
    <x v="16"/>
    <x v="16"/>
    <x v="15"/>
    <x v="241"/>
    <x v="138"/>
    <x v="82"/>
    <x v="232"/>
    <x v="69"/>
    <x v="425"/>
    <x v="1"/>
  </r>
  <r>
    <x v="0"/>
    <x v="64"/>
    <x v="64"/>
    <x v="24"/>
    <x v="24"/>
    <x v="24"/>
    <x v="15"/>
    <x v="241"/>
    <x v="138"/>
    <x v="71"/>
    <x v="473"/>
    <x v="46"/>
    <x v="91"/>
    <x v="1"/>
  </r>
  <r>
    <x v="0"/>
    <x v="64"/>
    <x v="64"/>
    <x v="31"/>
    <x v="31"/>
    <x v="31"/>
    <x v="15"/>
    <x v="241"/>
    <x v="138"/>
    <x v="57"/>
    <x v="274"/>
    <x v="73"/>
    <x v="72"/>
    <x v="1"/>
  </r>
  <r>
    <x v="0"/>
    <x v="64"/>
    <x v="64"/>
    <x v="4"/>
    <x v="4"/>
    <x v="4"/>
    <x v="15"/>
    <x v="241"/>
    <x v="138"/>
    <x v="53"/>
    <x v="203"/>
    <x v="74"/>
    <x v="264"/>
    <x v="1"/>
  </r>
  <r>
    <x v="0"/>
    <x v="64"/>
    <x v="64"/>
    <x v="6"/>
    <x v="6"/>
    <x v="6"/>
    <x v="15"/>
    <x v="241"/>
    <x v="138"/>
    <x v="57"/>
    <x v="274"/>
    <x v="73"/>
    <x v="72"/>
    <x v="1"/>
  </r>
  <r>
    <x v="0"/>
    <x v="64"/>
    <x v="64"/>
    <x v="3"/>
    <x v="3"/>
    <x v="3"/>
    <x v="15"/>
    <x v="241"/>
    <x v="138"/>
    <x v="57"/>
    <x v="274"/>
    <x v="73"/>
    <x v="72"/>
    <x v="1"/>
  </r>
  <r>
    <x v="0"/>
    <x v="64"/>
    <x v="64"/>
    <x v="47"/>
    <x v="47"/>
    <x v="47"/>
    <x v="15"/>
    <x v="241"/>
    <x v="138"/>
    <x v="60"/>
    <x v="564"/>
    <x v="56"/>
    <x v="171"/>
    <x v="1"/>
  </r>
  <r>
    <x v="0"/>
    <x v="65"/>
    <x v="65"/>
    <x v="9"/>
    <x v="9"/>
    <x v="9"/>
    <x v="0"/>
    <x v="234"/>
    <x v="352"/>
    <x v="64"/>
    <x v="580"/>
    <x v="56"/>
    <x v="426"/>
    <x v="1"/>
  </r>
  <r>
    <x v="0"/>
    <x v="65"/>
    <x v="65"/>
    <x v="1"/>
    <x v="1"/>
    <x v="1"/>
    <x v="1"/>
    <x v="79"/>
    <x v="353"/>
    <x v="67"/>
    <x v="581"/>
    <x v="66"/>
    <x v="299"/>
    <x v="1"/>
  </r>
  <r>
    <x v="0"/>
    <x v="65"/>
    <x v="65"/>
    <x v="7"/>
    <x v="7"/>
    <x v="7"/>
    <x v="2"/>
    <x v="239"/>
    <x v="252"/>
    <x v="57"/>
    <x v="475"/>
    <x v="56"/>
    <x v="426"/>
    <x v="1"/>
  </r>
  <r>
    <x v="0"/>
    <x v="65"/>
    <x v="65"/>
    <x v="2"/>
    <x v="2"/>
    <x v="2"/>
    <x v="2"/>
    <x v="239"/>
    <x v="252"/>
    <x v="57"/>
    <x v="475"/>
    <x v="56"/>
    <x v="426"/>
    <x v="1"/>
  </r>
  <r>
    <x v="0"/>
    <x v="65"/>
    <x v="65"/>
    <x v="0"/>
    <x v="0"/>
    <x v="0"/>
    <x v="4"/>
    <x v="240"/>
    <x v="354"/>
    <x v="75"/>
    <x v="103"/>
    <x v="74"/>
    <x v="427"/>
    <x v="1"/>
  </r>
  <r>
    <x v="0"/>
    <x v="65"/>
    <x v="65"/>
    <x v="38"/>
    <x v="38"/>
    <x v="38"/>
    <x v="5"/>
    <x v="243"/>
    <x v="239"/>
    <x v="82"/>
    <x v="491"/>
    <x v="61"/>
    <x v="428"/>
    <x v="1"/>
  </r>
  <r>
    <x v="0"/>
    <x v="65"/>
    <x v="65"/>
    <x v="16"/>
    <x v="16"/>
    <x v="16"/>
    <x v="5"/>
    <x v="243"/>
    <x v="239"/>
    <x v="111"/>
    <x v="158"/>
    <x v="69"/>
    <x v="55"/>
    <x v="1"/>
  </r>
  <r>
    <x v="0"/>
    <x v="65"/>
    <x v="65"/>
    <x v="31"/>
    <x v="31"/>
    <x v="31"/>
    <x v="7"/>
    <x v="299"/>
    <x v="76"/>
    <x v="71"/>
    <x v="563"/>
    <x v="66"/>
    <x v="299"/>
    <x v="1"/>
  </r>
  <r>
    <x v="0"/>
    <x v="65"/>
    <x v="65"/>
    <x v="20"/>
    <x v="20"/>
    <x v="20"/>
    <x v="8"/>
    <x v="300"/>
    <x v="62"/>
    <x v="53"/>
    <x v="160"/>
    <x v="63"/>
    <x v="300"/>
    <x v="1"/>
  </r>
  <r>
    <x v="0"/>
    <x v="65"/>
    <x v="65"/>
    <x v="11"/>
    <x v="11"/>
    <x v="11"/>
    <x v="8"/>
    <x v="300"/>
    <x v="62"/>
    <x v="71"/>
    <x v="563"/>
    <x v="73"/>
    <x v="72"/>
    <x v="1"/>
  </r>
  <r>
    <x v="0"/>
    <x v="65"/>
    <x v="65"/>
    <x v="57"/>
    <x v="57"/>
    <x v="57"/>
    <x v="8"/>
    <x v="300"/>
    <x v="62"/>
    <x v="50"/>
    <x v="15"/>
    <x v="67"/>
    <x v="429"/>
    <x v="1"/>
  </r>
  <r>
    <x v="0"/>
    <x v="65"/>
    <x v="65"/>
    <x v="5"/>
    <x v="5"/>
    <x v="5"/>
    <x v="11"/>
    <x v="301"/>
    <x v="234"/>
    <x v="68"/>
    <x v="343"/>
    <x v="66"/>
    <x v="299"/>
    <x v="1"/>
  </r>
  <r>
    <x v="0"/>
    <x v="65"/>
    <x v="65"/>
    <x v="84"/>
    <x v="84"/>
    <x v="84"/>
    <x v="11"/>
    <x v="301"/>
    <x v="234"/>
    <x v="75"/>
    <x v="103"/>
    <x v="56"/>
    <x v="426"/>
    <x v="1"/>
  </r>
  <r>
    <x v="0"/>
    <x v="65"/>
    <x v="65"/>
    <x v="47"/>
    <x v="47"/>
    <x v="47"/>
    <x v="11"/>
    <x v="301"/>
    <x v="234"/>
    <x v="75"/>
    <x v="103"/>
    <x v="56"/>
    <x v="426"/>
    <x v="1"/>
  </r>
  <r>
    <x v="0"/>
    <x v="65"/>
    <x v="65"/>
    <x v="34"/>
    <x v="34"/>
    <x v="34"/>
    <x v="14"/>
    <x v="302"/>
    <x v="99"/>
    <x v="111"/>
    <x v="158"/>
    <x v="46"/>
    <x v="259"/>
    <x v="1"/>
  </r>
  <r>
    <x v="0"/>
    <x v="65"/>
    <x v="65"/>
    <x v="14"/>
    <x v="14"/>
    <x v="14"/>
    <x v="14"/>
    <x v="302"/>
    <x v="99"/>
    <x v="82"/>
    <x v="491"/>
    <x v="44"/>
    <x v="53"/>
    <x v="1"/>
  </r>
  <r>
    <x v="0"/>
    <x v="65"/>
    <x v="65"/>
    <x v="23"/>
    <x v="23"/>
    <x v="23"/>
    <x v="14"/>
    <x v="302"/>
    <x v="99"/>
    <x v="53"/>
    <x v="160"/>
    <x v="56"/>
    <x v="426"/>
    <x v="1"/>
  </r>
  <r>
    <x v="0"/>
    <x v="65"/>
    <x v="65"/>
    <x v="10"/>
    <x v="10"/>
    <x v="10"/>
    <x v="14"/>
    <x v="302"/>
    <x v="99"/>
    <x v="53"/>
    <x v="160"/>
    <x v="56"/>
    <x v="426"/>
    <x v="1"/>
  </r>
  <r>
    <x v="0"/>
    <x v="65"/>
    <x v="65"/>
    <x v="12"/>
    <x v="12"/>
    <x v="12"/>
    <x v="14"/>
    <x v="302"/>
    <x v="99"/>
    <x v="111"/>
    <x v="158"/>
    <x v="46"/>
    <x v="259"/>
    <x v="1"/>
  </r>
  <r>
    <x v="0"/>
    <x v="65"/>
    <x v="65"/>
    <x v="6"/>
    <x v="6"/>
    <x v="6"/>
    <x v="14"/>
    <x v="302"/>
    <x v="99"/>
    <x v="68"/>
    <x v="343"/>
    <x v="73"/>
    <x v="72"/>
    <x v="1"/>
  </r>
  <r>
    <x v="0"/>
    <x v="65"/>
    <x v="65"/>
    <x v="3"/>
    <x v="3"/>
    <x v="3"/>
    <x v="14"/>
    <x v="302"/>
    <x v="99"/>
    <x v="68"/>
    <x v="343"/>
    <x v="73"/>
    <x v="72"/>
    <x v="1"/>
  </r>
  <r>
    <x v="0"/>
    <x v="65"/>
    <x v="65"/>
    <x v="44"/>
    <x v="44"/>
    <x v="44"/>
    <x v="14"/>
    <x v="302"/>
    <x v="99"/>
    <x v="82"/>
    <x v="491"/>
    <x v="44"/>
    <x v="53"/>
    <x v="1"/>
  </r>
  <r>
    <x v="0"/>
    <x v="65"/>
    <x v="65"/>
    <x v="71"/>
    <x v="71"/>
    <x v="71"/>
    <x v="14"/>
    <x v="302"/>
    <x v="99"/>
    <x v="75"/>
    <x v="103"/>
    <x v="66"/>
    <x v="299"/>
    <x v="1"/>
  </r>
  <r>
    <x v="0"/>
    <x v="66"/>
    <x v="66"/>
    <x v="38"/>
    <x v="38"/>
    <x v="38"/>
    <x v="0"/>
    <x v="240"/>
    <x v="355"/>
    <x v="68"/>
    <x v="582"/>
    <x v="61"/>
    <x v="430"/>
    <x v="1"/>
  </r>
  <r>
    <x v="0"/>
    <x v="66"/>
    <x v="66"/>
    <x v="1"/>
    <x v="1"/>
    <x v="1"/>
    <x v="1"/>
    <x v="241"/>
    <x v="356"/>
    <x v="86"/>
    <x v="583"/>
    <x v="66"/>
    <x v="217"/>
    <x v="1"/>
  </r>
  <r>
    <x v="0"/>
    <x v="66"/>
    <x v="66"/>
    <x v="5"/>
    <x v="5"/>
    <x v="5"/>
    <x v="2"/>
    <x v="303"/>
    <x v="284"/>
    <x v="74"/>
    <x v="584"/>
    <x v="73"/>
    <x v="72"/>
    <x v="1"/>
  </r>
  <r>
    <x v="0"/>
    <x v="66"/>
    <x v="66"/>
    <x v="24"/>
    <x v="24"/>
    <x v="24"/>
    <x v="3"/>
    <x v="299"/>
    <x v="189"/>
    <x v="75"/>
    <x v="585"/>
    <x v="63"/>
    <x v="277"/>
    <x v="1"/>
  </r>
  <r>
    <x v="0"/>
    <x v="66"/>
    <x v="66"/>
    <x v="2"/>
    <x v="2"/>
    <x v="2"/>
    <x v="3"/>
    <x v="299"/>
    <x v="189"/>
    <x v="55"/>
    <x v="586"/>
    <x v="73"/>
    <x v="72"/>
    <x v="1"/>
  </r>
  <r>
    <x v="0"/>
    <x v="66"/>
    <x v="66"/>
    <x v="59"/>
    <x v="59"/>
    <x v="59"/>
    <x v="5"/>
    <x v="300"/>
    <x v="180"/>
    <x v="50"/>
    <x v="75"/>
    <x v="67"/>
    <x v="431"/>
    <x v="1"/>
  </r>
  <r>
    <x v="0"/>
    <x v="66"/>
    <x v="66"/>
    <x v="27"/>
    <x v="27"/>
    <x v="27"/>
    <x v="5"/>
    <x v="300"/>
    <x v="180"/>
    <x v="50"/>
    <x v="75"/>
    <x v="67"/>
    <x v="431"/>
    <x v="1"/>
  </r>
  <r>
    <x v="0"/>
    <x v="66"/>
    <x v="66"/>
    <x v="13"/>
    <x v="13"/>
    <x v="13"/>
    <x v="7"/>
    <x v="301"/>
    <x v="104"/>
    <x v="82"/>
    <x v="452"/>
    <x v="63"/>
    <x v="277"/>
    <x v="1"/>
  </r>
  <r>
    <x v="0"/>
    <x v="66"/>
    <x v="66"/>
    <x v="15"/>
    <x v="15"/>
    <x v="15"/>
    <x v="8"/>
    <x v="302"/>
    <x v="46"/>
    <x v="82"/>
    <x v="452"/>
    <x v="44"/>
    <x v="159"/>
    <x v="1"/>
  </r>
  <r>
    <x v="0"/>
    <x v="66"/>
    <x v="66"/>
    <x v="43"/>
    <x v="43"/>
    <x v="43"/>
    <x v="8"/>
    <x v="302"/>
    <x v="46"/>
    <x v="75"/>
    <x v="585"/>
    <x v="66"/>
    <x v="217"/>
    <x v="1"/>
  </r>
  <r>
    <x v="0"/>
    <x v="66"/>
    <x v="66"/>
    <x v="35"/>
    <x v="35"/>
    <x v="35"/>
    <x v="8"/>
    <x v="302"/>
    <x v="46"/>
    <x v="111"/>
    <x v="158"/>
    <x v="46"/>
    <x v="432"/>
    <x v="1"/>
  </r>
  <r>
    <x v="0"/>
    <x v="66"/>
    <x v="66"/>
    <x v="44"/>
    <x v="44"/>
    <x v="44"/>
    <x v="8"/>
    <x v="302"/>
    <x v="46"/>
    <x v="75"/>
    <x v="585"/>
    <x v="66"/>
    <x v="217"/>
    <x v="1"/>
  </r>
  <r>
    <x v="0"/>
    <x v="66"/>
    <x v="66"/>
    <x v="9"/>
    <x v="9"/>
    <x v="9"/>
    <x v="8"/>
    <x v="302"/>
    <x v="46"/>
    <x v="82"/>
    <x v="452"/>
    <x v="56"/>
    <x v="50"/>
    <x v="6"/>
  </r>
  <r>
    <x v="0"/>
    <x v="66"/>
    <x v="66"/>
    <x v="19"/>
    <x v="19"/>
    <x v="19"/>
    <x v="13"/>
    <x v="304"/>
    <x v="133"/>
    <x v="50"/>
    <x v="75"/>
    <x v="44"/>
    <x v="159"/>
    <x v="1"/>
  </r>
  <r>
    <x v="0"/>
    <x v="66"/>
    <x v="66"/>
    <x v="31"/>
    <x v="31"/>
    <x v="31"/>
    <x v="13"/>
    <x v="304"/>
    <x v="133"/>
    <x v="75"/>
    <x v="585"/>
    <x v="73"/>
    <x v="72"/>
    <x v="1"/>
  </r>
  <r>
    <x v="0"/>
    <x v="66"/>
    <x v="66"/>
    <x v="8"/>
    <x v="8"/>
    <x v="8"/>
    <x v="13"/>
    <x v="304"/>
    <x v="133"/>
    <x v="53"/>
    <x v="499"/>
    <x v="66"/>
    <x v="217"/>
    <x v="1"/>
  </r>
  <r>
    <x v="0"/>
    <x v="66"/>
    <x v="66"/>
    <x v="81"/>
    <x v="81"/>
    <x v="81"/>
    <x v="13"/>
    <x v="304"/>
    <x v="133"/>
    <x v="111"/>
    <x v="158"/>
    <x v="63"/>
    <x v="277"/>
    <x v="1"/>
  </r>
  <r>
    <x v="0"/>
    <x v="66"/>
    <x v="66"/>
    <x v="20"/>
    <x v="20"/>
    <x v="20"/>
    <x v="13"/>
    <x v="304"/>
    <x v="133"/>
    <x v="82"/>
    <x v="452"/>
    <x v="56"/>
    <x v="50"/>
    <x v="1"/>
  </r>
  <r>
    <x v="0"/>
    <x v="66"/>
    <x v="66"/>
    <x v="86"/>
    <x v="86"/>
    <x v="86"/>
    <x v="13"/>
    <x v="304"/>
    <x v="133"/>
    <x v="50"/>
    <x v="75"/>
    <x v="44"/>
    <x v="159"/>
    <x v="1"/>
  </r>
  <r>
    <x v="0"/>
    <x v="66"/>
    <x v="66"/>
    <x v="30"/>
    <x v="30"/>
    <x v="30"/>
    <x v="13"/>
    <x v="304"/>
    <x v="133"/>
    <x v="53"/>
    <x v="499"/>
    <x v="66"/>
    <x v="217"/>
    <x v="1"/>
  </r>
  <r>
    <x v="0"/>
    <x v="67"/>
    <x v="67"/>
    <x v="38"/>
    <x v="38"/>
    <x v="38"/>
    <x v="0"/>
    <x v="241"/>
    <x v="357"/>
    <x v="53"/>
    <x v="171"/>
    <x v="74"/>
    <x v="433"/>
    <x v="1"/>
  </r>
  <r>
    <x v="0"/>
    <x v="67"/>
    <x v="67"/>
    <x v="8"/>
    <x v="8"/>
    <x v="8"/>
    <x v="1"/>
    <x v="300"/>
    <x v="274"/>
    <x v="68"/>
    <x v="371"/>
    <x v="56"/>
    <x v="179"/>
    <x v="1"/>
  </r>
  <r>
    <x v="0"/>
    <x v="67"/>
    <x v="67"/>
    <x v="5"/>
    <x v="5"/>
    <x v="5"/>
    <x v="1"/>
    <x v="300"/>
    <x v="274"/>
    <x v="68"/>
    <x v="371"/>
    <x v="56"/>
    <x v="179"/>
    <x v="1"/>
  </r>
  <r>
    <x v="0"/>
    <x v="67"/>
    <x v="67"/>
    <x v="24"/>
    <x v="24"/>
    <x v="24"/>
    <x v="3"/>
    <x v="301"/>
    <x v="358"/>
    <x v="75"/>
    <x v="555"/>
    <x v="56"/>
    <x v="179"/>
    <x v="1"/>
  </r>
  <r>
    <x v="0"/>
    <x v="67"/>
    <x v="67"/>
    <x v="87"/>
    <x v="87"/>
    <x v="87"/>
    <x v="3"/>
    <x v="301"/>
    <x v="358"/>
    <x v="68"/>
    <x v="371"/>
    <x v="66"/>
    <x v="21"/>
    <x v="1"/>
  </r>
  <r>
    <x v="0"/>
    <x v="67"/>
    <x v="67"/>
    <x v="65"/>
    <x v="65"/>
    <x v="65"/>
    <x v="5"/>
    <x v="302"/>
    <x v="43"/>
    <x v="82"/>
    <x v="472"/>
    <x v="44"/>
    <x v="434"/>
    <x v="1"/>
  </r>
  <r>
    <x v="0"/>
    <x v="67"/>
    <x v="67"/>
    <x v="14"/>
    <x v="14"/>
    <x v="14"/>
    <x v="5"/>
    <x v="302"/>
    <x v="43"/>
    <x v="75"/>
    <x v="555"/>
    <x v="66"/>
    <x v="21"/>
    <x v="1"/>
  </r>
  <r>
    <x v="0"/>
    <x v="67"/>
    <x v="67"/>
    <x v="1"/>
    <x v="1"/>
    <x v="1"/>
    <x v="5"/>
    <x v="302"/>
    <x v="43"/>
    <x v="68"/>
    <x v="371"/>
    <x v="73"/>
    <x v="72"/>
    <x v="1"/>
  </r>
  <r>
    <x v="0"/>
    <x v="67"/>
    <x v="67"/>
    <x v="16"/>
    <x v="16"/>
    <x v="16"/>
    <x v="8"/>
    <x v="304"/>
    <x v="116"/>
    <x v="53"/>
    <x v="171"/>
    <x v="66"/>
    <x v="21"/>
    <x v="1"/>
  </r>
  <r>
    <x v="0"/>
    <x v="67"/>
    <x v="67"/>
    <x v="73"/>
    <x v="73"/>
    <x v="73"/>
    <x v="8"/>
    <x v="304"/>
    <x v="116"/>
    <x v="53"/>
    <x v="171"/>
    <x v="66"/>
    <x v="21"/>
    <x v="1"/>
  </r>
  <r>
    <x v="0"/>
    <x v="67"/>
    <x v="67"/>
    <x v="63"/>
    <x v="63"/>
    <x v="63"/>
    <x v="8"/>
    <x v="304"/>
    <x v="116"/>
    <x v="82"/>
    <x v="472"/>
    <x v="56"/>
    <x v="179"/>
    <x v="1"/>
  </r>
  <r>
    <x v="0"/>
    <x v="67"/>
    <x v="67"/>
    <x v="45"/>
    <x v="45"/>
    <x v="45"/>
    <x v="8"/>
    <x v="304"/>
    <x v="116"/>
    <x v="75"/>
    <x v="555"/>
    <x v="73"/>
    <x v="72"/>
    <x v="1"/>
  </r>
  <r>
    <x v="0"/>
    <x v="67"/>
    <x v="67"/>
    <x v="88"/>
    <x v="88"/>
    <x v="88"/>
    <x v="12"/>
    <x v="305"/>
    <x v="244"/>
    <x v="53"/>
    <x v="171"/>
    <x v="73"/>
    <x v="72"/>
    <x v="1"/>
  </r>
  <r>
    <x v="0"/>
    <x v="67"/>
    <x v="67"/>
    <x v="80"/>
    <x v="80"/>
    <x v="80"/>
    <x v="12"/>
    <x v="305"/>
    <x v="244"/>
    <x v="50"/>
    <x v="465"/>
    <x v="56"/>
    <x v="179"/>
    <x v="1"/>
  </r>
  <r>
    <x v="0"/>
    <x v="67"/>
    <x v="67"/>
    <x v="30"/>
    <x v="30"/>
    <x v="30"/>
    <x v="12"/>
    <x v="305"/>
    <x v="244"/>
    <x v="53"/>
    <x v="171"/>
    <x v="73"/>
    <x v="72"/>
    <x v="1"/>
  </r>
  <r>
    <x v="0"/>
    <x v="67"/>
    <x v="67"/>
    <x v="7"/>
    <x v="7"/>
    <x v="7"/>
    <x v="12"/>
    <x v="305"/>
    <x v="244"/>
    <x v="53"/>
    <x v="171"/>
    <x v="73"/>
    <x v="72"/>
    <x v="1"/>
  </r>
  <r>
    <x v="0"/>
    <x v="67"/>
    <x v="67"/>
    <x v="21"/>
    <x v="21"/>
    <x v="21"/>
    <x v="12"/>
    <x v="305"/>
    <x v="244"/>
    <x v="111"/>
    <x v="158"/>
    <x v="44"/>
    <x v="434"/>
    <x v="1"/>
  </r>
  <r>
    <x v="0"/>
    <x v="67"/>
    <x v="67"/>
    <x v="89"/>
    <x v="89"/>
    <x v="89"/>
    <x v="17"/>
    <x v="306"/>
    <x v="81"/>
    <x v="111"/>
    <x v="158"/>
    <x v="56"/>
    <x v="179"/>
    <x v="1"/>
  </r>
  <r>
    <x v="0"/>
    <x v="67"/>
    <x v="67"/>
    <x v="75"/>
    <x v="75"/>
    <x v="75"/>
    <x v="17"/>
    <x v="306"/>
    <x v="81"/>
    <x v="82"/>
    <x v="472"/>
    <x v="73"/>
    <x v="72"/>
    <x v="1"/>
  </r>
  <r>
    <x v="0"/>
    <x v="67"/>
    <x v="67"/>
    <x v="15"/>
    <x v="15"/>
    <x v="15"/>
    <x v="17"/>
    <x v="306"/>
    <x v="81"/>
    <x v="50"/>
    <x v="465"/>
    <x v="66"/>
    <x v="21"/>
    <x v="1"/>
  </r>
  <r>
    <x v="0"/>
    <x v="67"/>
    <x v="67"/>
    <x v="90"/>
    <x v="90"/>
    <x v="90"/>
    <x v="17"/>
    <x v="306"/>
    <x v="81"/>
    <x v="82"/>
    <x v="472"/>
    <x v="73"/>
    <x v="72"/>
    <x v="1"/>
  </r>
  <r>
    <x v="0"/>
    <x v="67"/>
    <x v="67"/>
    <x v="91"/>
    <x v="91"/>
    <x v="91"/>
    <x v="17"/>
    <x v="306"/>
    <x v="81"/>
    <x v="111"/>
    <x v="158"/>
    <x v="56"/>
    <x v="179"/>
    <x v="1"/>
  </r>
  <r>
    <x v="0"/>
    <x v="67"/>
    <x v="67"/>
    <x v="22"/>
    <x v="22"/>
    <x v="22"/>
    <x v="17"/>
    <x v="306"/>
    <x v="81"/>
    <x v="82"/>
    <x v="472"/>
    <x v="73"/>
    <x v="72"/>
    <x v="1"/>
  </r>
  <r>
    <x v="0"/>
    <x v="67"/>
    <x v="67"/>
    <x v="92"/>
    <x v="92"/>
    <x v="92"/>
    <x v="17"/>
    <x v="306"/>
    <x v="81"/>
    <x v="82"/>
    <x v="472"/>
    <x v="73"/>
    <x v="72"/>
    <x v="1"/>
  </r>
  <r>
    <x v="0"/>
    <x v="67"/>
    <x v="67"/>
    <x v="93"/>
    <x v="93"/>
    <x v="93"/>
    <x v="17"/>
    <x v="306"/>
    <x v="81"/>
    <x v="111"/>
    <x v="158"/>
    <x v="56"/>
    <x v="179"/>
    <x v="1"/>
  </r>
  <r>
    <x v="0"/>
    <x v="67"/>
    <x v="67"/>
    <x v="27"/>
    <x v="27"/>
    <x v="27"/>
    <x v="17"/>
    <x v="306"/>
    <x v="81"/>
    <x v="111"/>
    <x v="158"/>
    <x v="56"/>
    <x v="179"/>
    <x v="1"/>
  </r>
  <r>
    <x v="0"/>
    <x v="67"/>
    <x v="67"/>
    <x v="31"/>
    <x v="31"/>
    <x v="31"/>
    <x v="17"/>
    <x v="306"/>
    <x v="81"/>
    <x v="82"/>
    <x v="472"/>
    <x v="73"/>
    <x v="72"/>
    <x v="1"/>
  </r>
  <r>
    <x v="0"/>
    <x v="67"/>
    <x v="67"/>
    <x v="43"/>
    <x v="43"/>
    <x v="43"/>
    <x v="17"/>
    <x v="306"/>
    <x v="81"/>
    <x v="82"/>
    <x v="472"/>
    <x v="73"/>
    <x v="72"/>
    <x v="1"/>
  </r>
  <r>
    <x v="0"/>
    <x v="67"/>
    <x v="67"/>
    <x v="0"/>
    <x v="0"/>
    <x v="0"/>
    <x v="17"/>
    <x v="306"/>
    <x v="81"/>
    <x v="50"/>
    <x v="465"/>
    <x v="66"/>
    <x v="21"/>
    <x v="1"/>
  </r>
  <r>
    <x v="0"/>
    <x v="67"/>
    <x v="67"/>
    <x v="20"/>
    <x v="20"/>
    <x v="20"/>
    <x v="17"/>
    <x v="306"/>
    <x v="81"/>
    <x v="111"/>
    <x v="158"/>
    <x v="56"/>
    <x v="179"/>
    <x v="1"/>
  </r>
  <r>
    <x v="0"/>
    <x v="67"/>
    <x v="67"/>
    <x v="94"/>
    <x v="94"/>
    <x v="94"/>
    <x v="17"/>
    <x v="306"/>
    <x v="81"/>
    <x v="50"/>
    <x v="465"/>
    <x v="66"/>
    <x v="21"/>
    <x v="1"/>
  </r>
  <r>
    <x v="0"/>
    <x v="67"/>
    <x v="67"/>
    <x v="95"/>
    <x v="95"/>
    <x v="95"/>
    <x v="17"/>
    <x v="306"/>
    <x v="81"/>
    <x v="82"/>
    <x v="472"/>
    <x v="73"/>
    <x v="72"/>
    <x v="1"/>
  </r>
  <r>
    <x v="0"/>
    <x v="67"/>
    <x v="67"/>
    <x v="96"/>
    <x v="96"/>
    <x v="96"/>
    <x v="17"/>
    <x v="306"/>
    <x v="81"/>
    <x v="50"/>
    <x v="465"/>
    <x v="73"/>
    <x v="72"/>
    <x v="1"/>
  </r>
  <r>
    <x v="0"/>
    <x v="67"/>
    <x v="67"/>
    <x v="97"/>
    <x v="97"/>
    <x v="97"/>
    <x v="17"/>
    <x v="306"/>
    <x v="81"/>
    <x v="111"/>
    <x v="158"/>
    <x v="66"/>
    <x v="21"/>
    <x v="1"/>
  </r>
  <r>
    <x v="0"/>
    <x v="67"/>
    <x v="67"/>
    <x v="98"/>
    <x v="98"/>
    <x v="98"/>
    <x v="17"/>
    <x v="306"/>
    <x v="81"/>
    <x v="82"/>
    <x v="472"/>
    <x v="73"/>
    <x v="72"/>
    <x v="1"/>
  </r>
  <r>
    <x v="0"/>
    <x v="68"/>
    <x v="68"/>
    <x v="2"/>
    <x v="2"/>
    <x v="2"/>
    <x v="0"/>
    <x v="239"/>
    <x v="278"/>
    <x v="86"/>
    <x v="477"/>
    <x v="44"/>
    <x v="378"/>
    <x v="1"/>
  </r>
  <r>
    <x v="0"/>
    <x v="68"/>
    <x v="68"/>
    <x v="4"/>
    <x v="4"/>
    <x v="4"/>
    <x v="1"/>
    <x v="241"/>
    <x v="359"/>
    <x v="111"/>
    <x v="158"/>
    <x v="48"/>
    <x v="435"/>
    <x v="1"/>
  </r>
  <r>
    <x v="0"/>
    <x v="68"/>
    <x v="68"/>
    <x v="1"/>
    <x v="1"/>
    <x v="1"/>
    <x v="1"/>
    <x v="241"/>
    <x v="359"/>
    <x v="57"/>
    <x v="574"/>
    <x v="73"/>
    <x v="72"/>
    <x v="1"/>
  </r>
  <r>
    <x v="0"/>
    <x v="68"/>
    <x v="68"/>
    <x v="8"/>
    <x v="8"/>
    <x v="8"/>
    <x v="3"/>
    <x v="242"/>
    <x v="125"/>
    <x v="74"/>
    <x v="587"/>
    <x v="56"/>
    <x v="48"/>
    <x v="1"/>
  </r>
  <r>
    <x v="0"/>
    <x v="68"/>
    <x v="68"/>
    <x v="45"/>
    <x v="45"/>
    <x v="45"/>
    <x v="4"/>
    <x v="243"/>
    <x v="360"/>
    <x v="71"/>
    <x v="504"/>
    <x v="44"/>
    <x v="378"/>
    <x v="1"/>
  </r>
  <r>
    <x v="0"/>
    <x v="68"/>
    <x v="68"/>
    <x v="54"/>
    <x v="54"/>
    <x v="54"/>
    <x v="5"/>
    <x v="303"/>
    <x v="289"/>
    <x v="68"/>
    <x v="320"/>
    <x v="63"/>
    <x v="159"/>
    <x v="1"/>
  </r>
  <r>
    <x v="0"/>
    <x v="68"/>
    <x v="68"/>
    <x v="6"/>
    <x v="6"/>
    <x v="6"/>
    <x v="5"/>
    <x v="303"/>
    <x v="289"/>
    <x v="74"/>
    <x v="587"/>
    <x v="73"/>
    <x v="72"/>
    <x v="1"/>
  </r>
  <r>
    <x v="0"/>
    <x v="68"/>
    <x v="68"/>
    <x v="7"/>
    <x v="7"/>
    <x v="7"/>
    <x v="5"/>
    <x v="303"/>
    <x v="289"/>
    <x v="74"/>
    <x v="587"/>
    <x v="73"/>
    <x v="72"/>
    <x v="1"/>
  </r>
  <r>
    <x v="0"/>
    <x v="68"/>
    <x v="68"/>
    <x v="24"/>
    <x v="24"/>
    <x v="24"/>
    <x v="8"/>
    <x v="299"/>
    <x v="44"/>
    <x v="50"/>
    <x v="84"/>
    <x v="72"/>
    <x v="436"/>
    <x v="1"/>
  </r>
  <r>
    <x v="0"/>
    <x v="68"/>
    <x v="68"/>
    <x v="99"/>
    <x v="99"/>
    <x v="99"/>
    <x v="8"/>
    <x v="299"/>
    <x v="44"/>
    <x v="75"/>
    <x v="588"/>
    <x v="63"/>
    <x v="159"/>
    <x v="1"/>
  </r>
  <r>
    <x v="0"/>
    <x v="68"/>
    <x v="68"/>
    <x v="15"/>
    <x v="15"/>
    <x v="15"/>
    <x v="10"/>
    <x v="300"/>
    <x v="27"/>
    <x v="50"/>
    <x v="84"/>
    <x v="67"/>
    <x v="293"/>
    <x v="1"/>
  </r>
  <r>
    <x v="0"/>
    <x v="68"/>
    <x v="68"/>
    <x v="14"/>
    <x v="14"/>
    <x v="14"/>
    <x v="10"/>
    <x v="300"/>
    <x v="27"/>
    <x v="68"/>
    <x v="320"/>
    <x v="56"/>
    <x v="48"/>
    <x v="1"/>
  </r>
  <r>
    <x v="0"/>
    <x v="68"/>
    <x v="68"/>
    <x v="0"/>
    <x v="0"/>
    <x v="0"/>
    <x v="10"/>
    <x v="300"/>
    <x v="27"/>
    <x v="50"/>
    <x v="84"/>
    <x v="67"/>
    <x v="293"/>
    <x v="1"/>
  </r>
  <r>
    <x v="0"/>
    <x v="68"/>
    <x v="68"/>
    <x v="3"/>
    <x v="3"/>
    <x v="3"/>
    <x v="10"/>
    <x v="300"/>
    <x v="27"/>
    <x v="71"/>
    <x v="504"/>
    <x v="73"/>
    <x v="72"/>
    <x v="1"/>
  </r>
  <r>
    <x v="0"/>
    <x v="68"/>
    <x v="68"/>
    <x v="16"/>
    <x v="16"/>
    <x v="16"/>
    <x v="14"/>
    <x v="301"/>
    <x v="155"/>
    <x v="50"/>
    <x v="84"/>
    <x v="46"/>
    <x v="437"/>
    <x v="1"/>
  </r>
  <r>
    <x v="0"/>
    <x v="68"/>
    <x v="68"/>
    <x v="77"/>
    <x v="77"/>
    <x v="77"/>
    <x v="14"/>
    <x v="301"/>
    <x v="155"/>
    <x v="53"/>
    <x v="288"/>
    <x v="44"/>
    <x v="378"/>
    <x v="1"/>
  </r>
  <r>
    <x v="0"/>
    <x v="68"/>
    <x v="68"/>
    <x v="18"/>
    <x v="18"/>
    <x v="18"/>
    <x v="14"/>
    <x v="301"/>
    <x v="155"/>
    <x v="68"/>
    <x v="320"/>
    <x v="66"/>
    <x v="211"/>
    <x v="1"/>
  </r>
  <r>
    <x v="0"/>
    <x v="68"/>
    <x v="68"/>
    <x v="43"/>
    <x v="43"/>
    <x v="43"/>
    <x v="14"/>
    <x v="301"/>
    <x v="155"/>
    <x v="75"/>
    <x v="588"/>
    <x v="56"/>
    <x v="48"/>
    <x v="1"/>
  </r>
  <r>
    <x v="0"/>
    <x v="68"/>
    <x v="68"/>
    <x v="11"/>
    <x v="11"/>
    <x v="11"/>
    <x v="14"/>
    <x v="301"/>
    <x v="155"/>
    <x v="59"/>
    <x v="387"/>
    <x v="73"/>
    <x v="72"/>
    <x v="1"/>
  </r>
  <r>
    <x v="0"/>
    <x v="68"/>
    <x v="68"/>
    <x v="63"/>
    <x v="63"/>
    <x v="63"/>
    <x v="19"/>
    <x v="302"/>
    <x v="32"/>
    <x v="53"/>
    <x v="288"/>
    <x v="56"/>
    <x v="48"/>
    <x v="1"/>
  </r>
  <r>
    <x v="0"/>
    <x v="68"/>
    <x v="68"/>
    <x v="23"/>
    <x v="23"/>
    <x v="23"/>
    <x v="19"/>
    <x v="302"/>
    <x v="32"/>
    <x v="53"/>
    <x v="288"/>
    <x v="56"/>
    <x v="48"/>
    <x v="1"/>
  </r>
  <r>
    <x v="0"/>
    <x v="69"/>
    <x v="69"/>
    <x v="1"/>
    <x v="1"/>
    <x v="1"/>
    <x v="0"/>
    <x v="53"/>
    <x v="361"/>
    <x v="92"/>
    <x v="589"/>
    <x v="66"/>
    <x v="88"/>
    <x v="1"/>
  </r>
  <r>
    <x v="0"/>
    <x v="69"/>
    <x v="69"/>
    <x v="0"/>
    <x v="0"/>
    <x v="0"/>
    <x v="1"/>
    <x v="55"/>
    <x v="362"/>
    <x v="97"/>
    <x v="590"/>
    <x v="59"/>
    <x v="438"/>
    <x v="1"/>
  </r>
  <r>
    <x v="0"/>
    <x v="69"/>
    <x v="69"/>
    <x v="77"/>
    <x v="77"/>
    <x v="77"/>
    <x v="2"/>
    <x v="107"/>
    <x v="363"/>
    <x v="52"/>
    <x v="27"/>
    <x v="74"/>
    <x v="439"/>
    <x v="1"/>
  </r>
  <r>
    <x v="0"/>
    <x v="69"/>
    <x v="69"/>
    <x v="9"/>
    <x v="9"/>
    <x v="9"/>
    <x v="2"/>
    <x v="107"/>
    <x v="363"/>
    <x v="80"/>
    <x v="591"/>
    <x v="44"/>
    <x v="100"/>
    <x v="1"/>
  </r>
  <r>
    <x v="0"/>
    <x v="69"/>
    <x v="69"/>
    <x v="10"/>
    <x v="10"/>
    <x v="10"/>
    <x v="4"/>
    <x v="72"/>
    <x v="364"/>
    <x v="73"/>
    <x v="592"/>
    <x v="44"/>
    <x v="100"/>
    <x v="1"/>
  </r>
  <r>
    <x v="0"/>
    <x v="69"/>
    <x v="69"/>
    <x v="38"/>
    <x v="38"/>
    <x v="38"/>
    <x v="5"/>
    <x v="74"/>
    <x v="365"/>
    <x v="74"/>
    <x v="403"/>
    <x v="76"/>
    <x v="440"/>
    <x v="1"/>
  </r>
  <r>
    <x v="0"/>
    <x v="69"/>
    <x v="69"/>
    <x v="2"/>
    <x v="2"/>
    <x v="2"/>
    <x v="6"/>
    <x v="233"/>
    <x v="254"/>
    <x v="46"/>
    <x v="593"/>
    <x v="72"/>
    <x v="441"/>
    <x v="1"/>
  </r>
  <r>
    <x v="0"/>
    <x v="69"/>
    <x v="69"/>
    <x v="5"/>
    <x v="5"/>
    <x v="5"/>
    <x v="7"/>
    <x v="234"/>
    <x v="289"/>
    <x v="52"/>
    <x v="27"/>
    <x v="73"/>
    <x v="72"/>
    <x v="1"/>
  </r>
  <r>
    <x v="0"/>
    <x v="69"/>
    <x v="69"/>
    <x v="7"/>
    <x v="7"/>
    <x v="7"/>
    <x v="7"/>
    <x v="234"/>
    <x v="289"/>
    <x v="52"/>
    <x v="27"/>
    <x v="73"/>
    <x v="72"/>
    <x v="1"/>
  </r>
  <r>
    <x v="0"/>
    <x v="69"/>
    <x v="69"/>
    <x v="63"/>
    <x v="63"/>
    <x v="63"/>
    <x v="9"/>
    <x v="238"/>
    <x v="24"/>
    <x v="46"/>
    <x v="593"/>
    <x v="44"/>
    <x v="100"/>
    <x v="1"/>
  </r>
  <r>
    <x v="0"/>
    <x v="69"/>
    <x v="69"/>
    <x v="47"/>
    <x v="47"/>
    <x v="47"/>
    <x v="10"/>
    <x v="235"/>
    <x v="328"/>
    <x v="67"/>
    <x v="261"/>
    <x v="44"/>
    <x v="100"/>
    <x v="1"/>
  </r>
  <r>
    <x v="0"/>
    <x v="69"/>
    <x v="69"/>
    <x v="8"/>
    <x v="8"/>
    <x v="8"/>
    <x v="11"/>
    <x v="78"/>
    <x v="117"/>
    <x v="86"/>
    <x v="230"/>
    <x v="46"/>
    <x v="31"/>
    <x v="1"/>
  </r>
  <r>
    <x v="0"/>
    <x v="69"/>
    <x v="69"/>
    <x v="15"/>
    <x v="15"/>
    <x v="15"/>
    <x v="12"/>
    <x v="79"/>
    <x v="47"/>
    <x v="55"/>
    <x v="143"/>
    <x v="72"/>
    <x v="441"/>
    <x v="1"/>
  </r>
  <r>
    <x v="0"/>
    <x v="69"/>
    <x v="69"/>
    <x v="23"/>
    <x v="23"/>
    <x v="23"/>
    <x v="13"/>
    <x v="239"/>
    <x v="184"/>
    <x v="74"/>
    <x v="403"/>
    <x v="46"/>
    <x v="31"/>
    <x v="1"/>
  </r>
  <r>
    <x v="0"/>
    <x v="69"/>
    <x v="69"/>
    <x v="4"/>
    <x v="4"/>
    <x v="4"/>
    <x v="14"/>
    <x v="240"/>
    <x v="90"/>
    <x v="53"/>
    <x v="53"/>
    <x v="69"/>
    <x v="419"/>
    <x v="1"/>
  </r>
  <r>
    <x v="0"/>
    <x v="69"/>
    <x v="69"/>
    <x v="6"/>
    <x v="6"/>
    <x v="6"/>
    <x v="14"/>
    <x v="240"/>
    <x v="90"/>
    <x v="83"/>
    <x v="418"/>
    <x v="73"/>
    <x v="72"/>
    <x v="1"/>
  </r>
  <r>
    <x v="0"/>
    <x v="69"/>
    <x v="69"/>
    <x v="45"/>
    <x v="45"/>
    <x v="45"/>
    <x v="16"/>
    <x v="241"/>
    <x v="228"/>
    <x v="86"/>
    <x v="230"/>
    <x v="66"/>
    <x v="88"/>
    <x v="1"/>
  </r>
  <r>
    <x v="0"/>
    <x v="69"/>
    <x v="69"/>
    <x v="16"/>
    <x v="16"/>
    <x v="16"/>
    <x v="17"/>
    <x v="242"/>
    <x v="50"/>
    <x v="59"/>
    <x v="559"/>
    <x v="46"/>
    <x v="31"/>
    <x v="1"/>
  </r>
  <r>
    <x v="0"/>
    <x v="69"/>
    <x v="69"/>
    <x v="13"/>
    <x v="13"/>
    <x v="13"/>
    <x v="17"/>
    <x v="242"/>
    <x v="50"/>
    <x v="82"/>
    <x v="126"/>
    <x v="74"/>
    <x v="439"/>
    <x v="1"/>
  </r>
  <r>
    <x v="0"/>
    <x v="69"/>
    <x v="69"/>
    <x v="57"/>
    <x v="57"/>
    <x v="57"/>
    <x v="17"/>
    <x v="242"/>
    <x v="50"/>
    <x v="111"/>
    <x v="158"/>
    <x v="54"/>
    <x v="442"/>
    <x v="1"/>
  </r>
  <r>
    <x v="0"/>
    <x v="70"/>
    <x v="70"/>
    <x v="10"/>
    <x v="10"/>
    <x v="10"/>
    <x v="0"/>
    <x v="241"/>
    <x v="366"/>
    <x v="57"/>
    <x v="594"/>
    <x v="73"/>
    <x v="72"/>
    <x v="1"/>
  </r>
  <r>
    <x v="0"/>
    <x v="70"/>
    <x v="70"/>
    <x v="100"/>
    <x v="100"/>
    <x v="100"/>
    <x v="1"/>
    <x v="242"/>
    <x v="367"/>
    <x v="111"/>
    <x v="158"/>
    <x v="54"/>
    <x v="443"/>
    <x v="1"/>
  </r>
  <r>
    <x v="0"/>
    <x v="70"/>
    <x v="70"/>
    <x v="1"/>
    <x v="1"/>
    <x v="1"/>
    <x v="2"/>
    <x v="243"/>
    <x v="368"/>
    <x v="60"/>
    <x v="595"/>
    <x v="73"/>
    <x v="72"/>
    <x v="1"/>
  </r>
  <r>
    <x v="0"/>
    <x v="70"/>
    <x v="70"/>
    <x v="2"/>
    <x v="2"/>
    <x v="2"/>
    <x v="3"/>
    <x v="300"/>
    <x v="332"/>
    <x v="59"/>
    <x v="596"/>
    <x v="66"/>
    <x v="320"/>
    <x v="1"/>
  </r>
  <r>
    <x v="0"/>
    <x v="70"/>
    <x v="70"/>
    <x v="9"/>
    <x v="9"/>
    <x v="9"/>
    <x v="4"/>
    <x v="301"/>
    <x v="369"/>
    <x v="59"/>
    <x v="596"/>
    <x v="73"/>
    <x v="72"/>
    <x v="1"/>
  </r>
  <r>
    <x v="0"/>
    <x v="70"/>
    <x v="70"/>
    <x v="0"/>
    <x v="0"/>
    <x v="0"/>
    <x v="5"/>
    <x v="302"/>
    <x v="348"/>
    <x v="75"/>
    <x v="256"/>
    <x v="66"/>
    <x v="320"/>
    <x v="1"/>
  </r>
  <r>
    <x v="0"/>
    <x v="70"/>
    <x v="70"/>
    <x v="7"/>
    <x v="7"/>
    <x v="7"/>
    <x v="5"/>
    <x v="302"/>
    <x v="348"/>
    <x v="68"/>
    <x v="597"/>
    <x v="73"/>
    <x v="72"/>
    <x v="1"/>
  </r>
  <r>
    <x v="0"/>
    <x v="70"/>
    <x v="70"/>
    <x v="16"/>
    <x v="16"/>
    <x v="16"/>
    <x v="7"/>
    <x v="304"/>
    <x v="266"/>
    <x v="53"/>
    <x v="598"/>
    <x v="66"/>
    <x v="320"/>
    <x v="1"/>
  </r>
  <r>
    <x v="0"/>
    <x v="70"/>
    <x v="70"/>
    <x v="31"/>
    <x v="31"/>
    <x v="31"/>
    <x v="7"/>
    <x v="304"/>
    <x v="266"/>
    <x v="82"/>
    <x v="214"/>
    <x v="56"/>
    <x v="224"/>
    <x v="1"/>
  </r>
  <r>
    <x v="0"/>
    <x v="70"/>
    <x v="70"/>
    <x v="23"/>
    <x v="23"/>
    <x v="23"/>
    <x v="7"/>
    <x v="304"/>
    <x v="266"/>
    <x v="82"/>
    <x v="214"/>
    <x v="56"/>
    <x v="224"/>
    <x v="1"/>
  </r>
  <r>
    <x v="0"/>
    <x v="70"/>
    <x v="70"/>
    <x v="101"/>
    <x v="101"/>
    <x v="101"/>
    <x v="7"/>
    <x v="304"/>
    <x v="266"/>
    <x v="50"/>
    <x v="337"/>
    <x v="44"/>
    <x v="444"/>
    <x v="1"/>
  </r>
  <r>
    <x v="0"/>
    <x v="70"/>
    <x v="70"/>
    <x v="5"/>
    <x v="5"/>
    <x v="5"/>
    <x v="7"/>
    <x v="304"/>
    <x v="266"/>
    <x v="82"/>
    <x v="214"/>
    <x v="56"/>
    <x v="224"/>
    <x v="1"/>
  </r>
  <r>
    <x v="0"/>
    <x v="70"/>
    <x v="70"/>
    <x v="63"/>
    <x v="63"/>
    <x v="63"/>
    <x v="12"/>
    <x v="305"/>
    <x v="89"/>
    <x v="82"/>
    <x v="214"/>
    <x v="66"/>
    <x v="320"/>
    <x v="1"/>
  </r>
  <r>
    <x v="0"/>
    <x v="70"/>
    <x v="70"/>
    <x v="87"/>
    <x v="87"/>
    <x v="87"/>
    <x v="12"/>
    <x v="305"/>
    <x v="89"/>
    <x v="53"/>
    <x v="598"/>
    <x v="73"/>
    <x v="72"/>
    <x v="1"/>
  </r>
  <r>
    <x v="0"/>
    <x v="70"/>
    <x v="70"/>
    <x v="8"/>
    <x v="8"/>
    <x v="8"/>
    <x v="12"/>
    <x v="305"/>
    <x v="89"/>
    <x v="82"/>
    <x v="214"/>
    <x v="66"/>
    <x v="320"/>
    <x v="1"/>
  </r>
  <r>
    <x v="0"/>
    <x v="70"/>
    <x v="70"/>
    <x v="47"/>
    <x v="47"/>
    <x v="47"/>
    <x v="12"/>
    <x v="305"/>
    <x v="89"/>
    <x v="53"/>
    <x v="598"/>
    <x v="73"/>
    <x v="72"/>
    <x v="1"/>
  </r>
  <r>
    <x v="0"/>
    <x v="70"/>
    <x v="70"/>
    <x v="38"/>
    <x v="38"/>
    <x v="38"/>
    <x v="16"/>
    <x v="306"/>
    <x v="250"/>
    <x v="111"/>
    <x v="158"/>
    <x v="56"/>
    <x v="224"/>
    <x v="1"/>
  </r>
  <r>
    <x v="0"/>
    <x v="70"/>
    <x v="70"/>
    <x v="42"/>
    <x v="42"/>
    <x v="42"/>
    <x v="16"/>
    <x v="306"/>
    <x v="250"/>
    <x v="50"/>
    <x v="337"/>
    <x v="66"/>
    <x v="320"/>
    <x v="1"/>
  </r>
  <r>
    <x v="0"/>
    <x v="70"/>
    <x v="70"/>
    <x v="15"/>
    <x v="15"/>
    <x v="15"/>
    <x v="16"/>
    <x v="306"/>
    <x v="250"/>
    <x v="82"/>
    <x v="214"/>
    <x v="73"/>
    <x v="72"/>
    <x v="1"/>
  </r>
  <r>
    <x v="0"/>
    <x v="70"/>
    <x v="70"/>
    <x v="102"/>
    <x v="102"/>
    <x v="102"/>
    <x v="16"/>
    <x v="306"/>
    <x v="250"/>
    <x v="111"/>
    <x v="158"/>
    <x v="56"/>
    <x v="224"/>
    <x v="1"/>
  </r>
  <r>
    <x v="0"/>
    <x v="70"/>
    <x v="70"/>
    <x v="24"/>
    <x v="24"/>
    <x v="24"/>
    <x v="16"/>
    <x v="306"/>
    <x v="250"/>
    <x v="111"/>
    <x v="158"/>
    <x v="56"/>
    <x v="224"/>
    <x v="1"/>
  </r>
  <r>
    <x v="0"/>
    <x v="70"/>
    <x v="70"/>
    <x v="77"/>
    <x v="77"/>
    <x v="77"/>
    <x v="16"/>
    <x v="306"/>
    <x v="250"/>
    <x v="50"/>
    <x v="337"/>
    <x v="66"/>
    <x v="320"/>
    <x v="1"/>
  </r>
  <r>
    <x v="0"/>
    <x v="70"/>
    <x v="70"/>
    <x v="51"/>
    <x v="51"/>
    <x v="51"/>
    <x v="16"/>
    <x v="306"/>
    <x v="250"/>
    <x v="111"/>
    <x v="158"/>
    <x v="56"/>
    <x v="224"/>
    <x v="1"/>
  </r>
  <r>
    <x v="0"/>
    <x v="70"/>
    <x v="70"/>
    <x v="19"/>
    <x v="19"/>
    <x v="19"/>
    <x v="16"/>
    <x v="306"/>
    <x v="250"/>
    <x v="111"/>
    <x v="158"/>
    <x v="56"/>
    <x v="224"/>
    <x v="1"/>
  </r>
  <r>
    <x v="0"/>
    <x v="70"/>
    <x v="70"/>
    <x v="103"/>
    <x v="103"/>
    <x v="103"/>
    <x v="16"/>
    <x v="306"/>
    <x v="250"/>
    <x v="82"/>
    <x v="214"/>
    <x v="73"/>
    <x v="72"/>
    <x v="1"/>
  </r>
  <r>
    <x v="0"/>
    <x v="70"/>
    <x v="70"/>
    <x v="14"/>
    <x v="14"/>
    <x v="14"/>
    <x v="16"/>
    <x v="306"/>
    <x v="250"/>
    <x v="82"/>
    <x v="214"/>
    <x v="73"/>
    <x v="72"/>
    <x v="1"/>
  </r>
  <r>
    <x v="0"/>
    <x v="70"/>
    <x v="70"/>
    <x v="104"/>
    <x v="104"/>
    <x v="104"/>
    <x v="16"/>
    <x v="306"/>
    <x v="250"/>
    <x v="50"/>
    <x v="337"/>
    <x v="66"/>
    <x v="320"/>
    <x v="1"/>
  </r>
  <r>
    <x v="0"/>
    <x v="70"/>
    <x v="70"/>
    <x v="4"/>
    <x v="4"/>
    <x v="4"/>
    <x v="16"/>
    <x v="306"/>
    <x v="250"/>
    <x v="82"/>
    <x v="214"/>
    <x v="73"/>
    <x v="72"/>
    <x v="1"/>
  </r>
  <r>
    <x v="0"/>
    <x v="70"/>
    <x v="70"/>
    <x v="6"/>
    <x v="6"/>
    <x v="6"/>
    <x v="16"/>
    <x v="306"/>
    <x v="250"/>
    <x v="82"/>
    <x v="214"/>
    <x v="73"/>
    <x v="72"/>
    <x v="1"/>
  </r>
  <r>
    <x v="0"/>
    <x v="70"/>
    <x v="70"/>
    <x v="3"/>
    <x v="3"/>
    <x v="3"/>
    <x v="16"/>
    <x v="306"/>
    <x v="250"/>
    <x v="50"/>
    <x v="337"/>
    <x v="66"/>
    <x v="320"/>
    <x v="1"/>
  </r>
  <r>
    <x v="0"/>
    <x v="70"/>
    <x v="70"/>
    <x v="44"/>
    <x v="44"/>
    <x v="44"/>
    <x v="16"/>
    <x v="306"/>
    <x v="250"/>
    <x v="82"/>
    <x v="214"/>
    <x v="73"/>
    <x v="72"/>
    <x v="1"/>
  </r>
  <r>
    <x v="0"/>
    <x v="71"/>
    <x v="71"/>
    <x v="38"/>
    <x v="38"/>
    <x v="38"/>
    <x v="0"/>
    <x v="240"/>
    <x v="370"/>
    <x v="53"/>
    <x v="274"/>
    <x v="69"/>
    <x v="445"/>
    <x v="1"/>
  </r>
  <r>
    <x v="0"/>
    <x v="71"/>
    <x v="71"/>
    <x v="10"/>
    <x v="10"/>
    <x v="10"/>
    <x v="1"/>
    <x v="303"/>
    <x v="363"/>
    <x v="74"/>
    <x v="599"/>
    <x v="73"/>
    <x v="72"/>
    <x v="1"/>
  </r>
  <r>
    <x v="0"/>
    <x v="71"/>
    <x v="71"/>
    <x v="87"/>
    <x v="87"/>
    <x v="87"/>
    <x v="2"/>
    <x v="299"/>
    <x v="269"/>
    <x v="53"/>
    <x v="274"/>
    <x v="46"/>
    <x v="446"/>
    <x v="1"/>
  </r>
  <r>
    <x v="0"/>
    <x v="71"/>
    <x v="71"/>
    <x v="2"/>
    <x v="2"/>
    <x v="2"/>
    <x v="2"/>
    <x v="299"/>
    <x v="269"/>
    <x v="59"/>
    <x v="415"/>
    <x v="56"/>
    <x v="265"/>
    <x v="1"/>
  </r>
  <r>
    <x v="0"/>
    <x v="71"/>
    <x v="71"/>
    <x v="14"/>
    <x v="14"/>
    <x v="14"/>
    <x v="4"/>
    <x v="300"/>
    <x v="215"/>
    <x v="68"/>
    <x v="122"/>
    <x v="56"/>
    <x v="265"/>
    <x v="1"/>
  </r>
  <r>
    <x v="0"/>
    <x v="71"/>
    <x v="71"/>
    <x v="5"/>
    <x v="5"/>
    <x v="5"/>
    <x v="4"/>
    <x v="300"/>
    <x v="215"/>
    <x v="71"/>
    <x v="600"/>
    <x v="73"/>
    <x v="72"/>
    <x v="1"/>
  </r>
  <r>
    <x v="0"/>
    <x v="71"/>
    <x v="71"/>
    <x v="7"/>
    <x v="7"/>
    <x v="7"/>
    <x v="4"/>
    <x v="300"/>
    <x v="215"/>
    <x v="71"/>
    <x v="600"/>
    <x v="73"/>
    <x v="72"/>
    <x v="1"/>
  </r>
  <r>
    <x v="0"/>
    <x v="71"/>
    <x v="71"/>
    <x v="15"/>
    <x v="15"/>
    <x v="15"/>
    <x v="7"/>
    <x v="301"/>
    <x v="73"/>
    <x v="111"/>
    <x v="158"/>
    <x v="67"/>
    <x v="447"/>
    <x v="1"/>
  </r>
  <r>
    <x v="0"/>
    <x v="71"/>
    <x v="71"/>
    <x v="41"/>
    <x v="41"/>
    <x v="41"/>
    <x v="7"/>
    <x v="301"/>
    <x v="73"/>
    <x v="68"/>
    <x v="122"/>
    <x v="66"/>
    <x v="241"/>
    <x v="1"/>
  </r>
  <r>
    <x v="0"/>
    <x v="71"/>
    <x v="71"/>
    <x v="0"/>
    <x v="0"/>
    <x v="0"/>
    <x v="7"/>
    <x v="301"/>
    <x v="73"/>
    <x v="82"/>
    <x v="546"/>
    <x v="63"/>
    <x v="83"/>
    <x v="1"/>
  </r>
  <r>
    <x v="0"/>
    <x v="71"/>
    <x v="71"/>
    <x v="105"/>
    <x v="105"/>
    <x v="105"/>
    <x v="10"/>
    <x v="302"/>
    <x v="45"/>
    <x v="75"/>
    <x v="242"/>
    <x v="66"/>
    <x v="241"/>
    <x v="1"/>
  </r>
  <r>
    <x v="0"/>
    <x v="71"/>
    <x v="71"/>
    <x v="49"/>
    <x v="49"/>
    <x v="49"/>
    <x v="10"/>
    <x v="302"/>
    <x v="45"/>
    <x v="75"/>
    <x v="242"/>
    <x v="66"/>
    <x v="241"/>
    <x v="1"/>
  </r>
  <r>
    <x v="0"/>
    <x v="71"/>
    <x v="71"/>
    <x v="1"/>
    <x v="1"/>
    <x v="1"/>
    <x v="10"/>
    <x v="302"/>
    <x v="45"/>
    <x v="68"/>
    <x v="122"/>
    <x v="73"/>
    <x v="72"/>
    <x v="1"/>
  </r>
  <r>
    <x v="0"/>
    <x v="71"/>
    <x v="71"/>
    <x v="106"/>
    <x v="106"/>
    <x v="106"/>
    <x v="10"/>
    <x v="302"/>
    <x v="45"/>
    <x v="53"/>
    <x v="274"/>
    <x v="56"/>
    <x v="265"/>
    <x v="1"/>
  </r>
  <r>
    <x v="0"/>
    <x v="71"/>
    <x v="71"/>
    <x v="45"/>
    <x v="45"/>
    <x v="45"/>
    <x v="10"/>
    <x v="302"/>
    <x v="45"/>
    <x v="75"/>
    <x v="242"/>
    <x v="66"/>
    <x v="241"/>
    <x v="1"/>
  </r>
  <r>
    <x v="0"/>
    <x v="71"/>
    <x v="71"/>
    <x v="16"/>
    <x v="16"/>
    <x v="16"/>
    <x v="15"/>
    <x v="304"/>
    <x v="156"/>
    <x v="50"/>
    <x v="193"/>
    <x v="44"/>
    <x v="224"/>
    <x v="1"/>
  </r>
  <r>
    <x v="0"/>
    <x v="71"/>
    <x v="71"/>
    <x v="73"/>
    <x v="73"/>
    <x v="73"/>
    <x v="15"/>
    <x v="304"/>
    <x v="156"/>
    <x v="82"/>
    <x v="546"/>
    <x v="56"/>
    <x v="265"/>
    <x v="1"/>
  </r>
  <r>
    <x v="0"/>
    <x v="71"/>
    <x v="71"/>
    <x v="63"/>
    <x v="63"/>
    <x v="63"/>
    <x v="15"/>
    <x v="304"/>
    <x v="156"/>
    <x v="75"/>
    <x v="242"/>
    <x v="73"/>
    <x v="72"/>
    <x v="1"/>
  </r>
  <r>
    <x v="0"/>
    <x v="71"/>
    <x v="71"/>
    <x v="8"/>
    <x v="8"/>
    <x v="8"/>
    <x v="15"/>
    <x v="304"/>
    <x v="156"/>
    <x v="75"/>
    <x v="242"/>
    <x v="73"/>
    <x v="72"/>
    <x v="1"/>
  </r>
  <r>
    <x v="0"/>
    <x v="71"/>
    <x v="71"/>
    <x v="107"/>
    <x v="107"/>
    <x v="107"/>
    <x v="15"/>
    <x v="304"/>
    <x v="156"/>
    <x v="53"/>
    <x v="274"/>
    <x v="66"/>
    <x v="241"/>
    <x v="1"/>
  </r>
  <r>
    <x v="0"/>
    <x v="71"/>
    <x v="71"/>
    <x v="3"/>
    <x v="3"/>
    <x v="3"/>
    <x v="15"/>
    <x v="304"/>
    <x v="156"/>
    <x v="75"/>
    <x v="242"/>
    <x v="73"/>
    <x v="72"/>
    <x v="1"/>
  </r>
  <r>
    <x v="0"/>
    <x v="71"/>
    <x v="71"/>
    <x v="29"/>
    <x v="29"/>
    <x v="29"/>
    <x v="15"/>
    <x v="304"/>
    <x v="156"/>
    <x v="75"/>
    <x v="242"/>
    <x v="73"/>
    <x v="72"/>
    <x v="1"/>
  </r>
  <r>
    <x v="0"/>
    <x v="72"/>
    <x v="72"/>
    <x v="0"/>
    <x v="0"/>
    <x v="0"/>
    <x v="0"/>
    <x v="78"/>
    <x v="371"/>
    <x v="67"/>
    <x v="601"/>
    <x v="56"/>
    <x v="86"/>
    <x v="1"/>
  </r>
  <r>
    <x v="0"/>
    <x v="72"/>
    <x v="72"/>
    <x v="10"/>
    <x v="10"/>
    <x v="10"/>
    <x v="1"/>
    <x v="241"/>
    <x v="288"/>
    <x v="86"/>
    <x v="602"/>
    <x v="66"/>
    <x v="317"/>
    <x v="1"/>
  </r>
  <r>
    <x v="0"/>
    <x v="72"/>
    <x v="72"/>
    <x v="38"/>
    <x v="38"/>
    <x v="38"/>
    <x v="2"/>
    <x v="242"/>
    <x v="372"/>
    <x v="75"/>
    <x v="374"/>
    <x v="72"/>
    <x v="448"/>
    <x v="1"/>
  </r>
  <r>
    <x v="0"/>
    <x v="72"/>
    <x v="72"/>
    <x v="1"/>
    <x v="1"/>
    <x v="1"/>
    <x v="3"/>
    <x v="243"/>
    <x v="332"/>
    <x v="60"/>
    <x v="331"/>
    <x v="73"/>
    <x v="72"/>
    <x v="1"/>
  </r>
  <r>
    <x v="0"/>
    <x v="72"/>
    <x v="72"/>
    <x v="9"/>
    <x v="9"/>
    <x v="9"/>
    <x v="4"/>
    <x v="299"/>
    <x v="94"/>
    <x v="55"/>
    <x v="446"/>
    <x v="73"/>
    <x v="72"/>
    <x v="1"/>
  </r>
  <r>
    <x v="0"/>
    <x v="72"/>
    <x v="72"/>
    <x v="2"/>
    <x v="2"/>
    <x v="2"/>
    <x v="4"/>
    <x v="299"/>
    <x v="94"/>
    <x v="55"/>
    <x v="446"/>
    <x v="73"/>
    <x v="72"/>
    <x v="1"/>
  </r>
  <r>
    <x v="0"/>
    <x v="72"/>
    <x v="72"/>
    <x v="5"/>
    <x v="5"/>
    <x v="5"/>
    <x v="6"/>
    <x v="300"/>
    <x v="162"/>
    <x v="71"/>
    <x v="515"/>
    <x v="73"/>
    <x v="72"/>
    <x v="1"/>
  </r>
  <r>
    <x v="0"/>
    <x v="72"/>
    <x v="72"/>
    <x v="16"/>
    <x v="16"/>
    <x v="16"/>
    <x v="7"/>
    <x v="301"/>
    <x v="212"/>
    <x v="111"/>
    <x v="158"/>
    <x v="67"/>
    <x v="449"/>
    <x v="1"/>
  </r>
  <r>
    <x v="0"/>
    <x v="72"/>
    <x v="72"/>
    <x v="45"/>
    <x v="45"/>
    <x v="45"/>
    <x v="7"/>
    <x v="301"/>
    <x v="212"/>
    <x v="75"/>
    <x v="374"/>
    <x v="56"/>
    <x v="86"/>
    <x v="1"/>
  </r>
  <r>
    <x v="0"/>
    <x v="72"/>
    <x v="72"/>
    <x v="59"/>
    <x v="59"/>
    <x v="59"/>
    <x v="9"/>
    <x v="302"/>
    <x v="87"/>
    <x v="53"/>
    <x v="486"/>
    <x v="56"/>
    <x v="86"/>
    <x v="1"/>
  </r>
  <r>
    <x v="0"/>
    <x v="72"/>
    <x v="72"/>
    <x v="15"/>
    <x v="15"/>
    <x v="15"/>
    <x v="9"/>
    <x v="302"/>
    <x v="87"/>
    <x v="82"/>
    <x v="376"/>
    <x v="44"/>
    <x v="367"/>
    <x v="1"/>
  </r>
  <r>
    <x v="0"/>
    <x v="72"/>
    <x v="72"/>
    <x v="19"/>
    <x v="19"/>
    <x v="19"/>
    <x v="9"/>
    <x v="302"/>
    <x v="87"/>
    <x v="111"/>
    <x v="158"/>
    <x v="46"/>
    <x v="450"/>
    <x v="1"/>
  </r>
  <r>
    <x v="0"/>
    <x v="72"/>
    <x v="72"/>
    <x v="63"/>
    <x v="63"/>
    <x v="63"/>
    <x v="9"/>
    <x v="302"/>
    <x v="87"/>
    <x v="68"/>
    <x v="576"/>
    <x v="73"/>
    <x v="72"/>
    <x v="1"/>
  </r>
  <r>
    <x v="0"/>
    <x v="72"/>
    <x v="72"/>
    <x v="40"/>
    <x v="40"/>
    <x v="40"/>
    <x v="13"/>
    <x v="304"/>
    <x v="156"/>
    <x v="82"/>
    <x v="376"/>
    <x v="56"/>
    <x v="86"/>
    <x v="1"/>
  </r>
  <r>
    <x v="0"/>
    <x v="72"/>
    <x v="72"/>
    <x v="65"/>
    <x v="65"/>
    <x v="65"/>
    <x v="13"/>
    <x v="304"/>
    <x v="156"/>
    <x v="82"/>
    <x v="376"/>
    <x v="56"/>
    <x v="86"/>
    <x v="1"/>
  </r>
  <r>
    <x v="0"/>
    <x v="72"/>
    <x v="72"/>
    <x v="41"/>
    <x v="41"/>
    <x v="41"/>
    <x v="13"/>
    <x v="304"/>
    <x v="156"/>
    <x v="75"/>
    <x v="374"/>
    <x v="73"/>
    <x v="72"/>
    <x v="1"/>
  </r>
  <r>
    <x v="0"/>
    <x v="72"/>
    <x v="72"/>
    <x v="8"/>
    <x v="8"/>
    <x v="8"/>
    <x v="13"/>
    <x v="304"/>
    <x v="156"/>
    <x v="75"/>
    <x v="374"/>
    <x v="73"/>
    <x v="72"/>
    <x v="1"/>
  </r>
  <r>
    <x v="0"/>
    <x v="72"/>
    <x v="72"/>
    <x v="81"/>
    <x v="81"/>
    <x v="81"/>
    <x v="13"/>
    <x v="304"/>
    <x v="156"/>
    <x v="50"/>
    <x v="4"/>
    <x v="44"/>
    <x v="367"/>
    <x v="1"/>
  </r>
  <r>
    <x v="0"/>
    <x v="72"/>
    <x v="72"/>
    <x v="73"/>
    <x v="73"/>
    <x v="73"/>
    <x v="18"/>
    <x v="305"/>
    <x v="14"/>
    <x v="50"/>
    <x v="4"/>
    <x v="56"/>
    <x v="86"/>
    <x v="1"/>
  </r>
  <r>
    <x v="0"/>
    <x v="72"/>
    <x v="72"/>
    <x v="42"/>
    <x v="42"/>
    <x v="42"/>
    <x v="18"/>
    <x v="305"/>
    <x v="14"/>
    <x v="111"/>
    <x v="158"/>
    <x v="44"/>
    <x v="367"/>
    <x v="1"/>
  </r>
  <r>
    <x v="0"/>
    <x v="72"/>
    <x v="72"/>
    <x v="24"/>
    <x v="24"/>
    <x v="24"/>
    <x v="18"/>
    <x v="305"/>
    <x v="14"/>
    <x v="111"/>
    <x v="158"/>
    <x v="44"/>
    <x v="367"/>
    <x v="1"/>
  </r>
  <r>
    <x v="0"/>
    <x v="72"/>
    <x v="72"/>
    <x v="108"/>
    <x v="108"/>
    <x v="108"/>
    <x v="18"/>
    <x v="305"/>
    <x v="14"/>
    <x v="53"/>
    <x v="486"/>
    <x v="73"/>
    <x v="72"/>
    <x v="1"/>
  </r>
  <r>
    <x v="0"/>
    <x v="72"/>
    <x v="72"/>
    <x v="4"/>
    <x v="4"/>
    <x v="4"/>
    <x v="18"/>
    <x v="305"/>
    <x v="14"/>
    <x v="50"/>
    <x v="4"/>
    <x v="56"/>
    <x v="86"/>
    <x v="1"/>
  </r>
  <r>
    <x v="0"/>
    <x v="72"/>
    <x v="72"/>
    <x v="7"/>
    <x v="7"/>
    <x v="7"/>
    <x v="18"/>
    <x v="305"/>
    <x v="14"/>
    <x v="53"/>
    <x v="486"/>
    <x v="73"/>
    <x v="72"/>
    <x v="1"/>
  </r>
  <r>
    <x v="0"/>
    <x v="73"/>
    <x v="73"/>
    <x v="0"/>
    <x v="0"/>
    <x v="0"/>
    <x v="0"/>
    <x v="70"/>
    <x v="373"/>
    <x v="56"/>
    <x v="603"/>
    <x v="67"/>
    <x v="353"/>
    <x v="1"/>
  </r>
  <r>
    <x v="0"/>
    <x v="73"/>
    <x v="73"/>
    <x v="38"/>
    <x v="38"/>
    <x v="38"/>
    <x v="1"/>
    <x v="240"/>
    <x v="262"/>
    <x v="111"/>
    <x v="158"/>
    <x v="108"/>
    <x v="451"/>
    <x v="1"/>
  </r>
  <r>
    <x v="0"/>
    <x v="73"/>
    <x v="73"/>
    <x v="63"/>
    <x v="63"/>
    <x v="63"/>
    <x v="2"/>
    <x v="242"/>
    <x v="269"/>
    <x v="60"/>
    <x v="604"/>
    <x v="66"/>
    <x v="237"/>
    <x v="1"/>
  </r>
  <r>
    <x v="0"/>
    <x v="73"/>
    <x v="73"/>
    <x v="24"/>
    <x v="24"/>
    <x v="24"/>
    <x v="3"/>
    <x v="243"/>
    <x v="20"/>
    <x v="75"/>
    <x v="588"/>
    <x v="67"/>
    <x v="353"/>
    <x v="1"/>
  </r>
  <r>
    <x v="0"/>
    <x v="73"/>
    <x v="73"/>
    <x v="10"/>
    <x v="10"/>
    <x v="10"/>
    <x v="3"/>
    <x v="243"/>
    <x v="20"/>
    <x v="74"/>
    <x v="587"/>
    <x v="66"/>
    <x v="237"/>
    <x v="1"/>
  </r>
  <r>
    <x v="0"/>
    <x v="73"/>
    <x v="73"/>
    <x v="4"/>
    <x v="4"/>
    <x v="4"/>
    <x v="5"/>
    <x v="303"/>
    <x v="230"/>
    <x v="75"/>
    <x v="588"/>
    <x v="46"/>
    <x v="419"/>
    <x v="1"/>
  </r>
  <r>
    <x v="0"/>
    <x v="73"/>
    <x v="73"/>
    <x v="74"/>
    <x v="74"/>
    <x v="74"/>
    <x v="6"/>
    <x v="300"/>
    <x v="280"/>
    <x v="53"/>
    <x v="288"/>
    <x v="63"/>
    <x v="452"/>
    <x v="1"/>
  </r>
  <r>
    <x v="0"/>
    <x v="73"/>
    <x v="73"/>
    <x v="1"/>
    <x v="1"/>
    <x v="1"/>
    <x v="6"/>
    <x v="300"/>
    <x v="280"/>
    <x v="71"/>
    <x v="504"/>
    <x v="73"/>
    <x v="72"/>
    <x v="1"/>
  </r>
  <r>
    <x v="0"/>
    <x v="73"/>
    <x v="73"/>
    <x v="45"/>
    <x v="45"/>
    <x v="45"/>
    <x v="6"/>
    <x v="300"/>
    <x v="280"/>
    <x v="71"/>
    <x v="504"/>
    <x v="73"/>
    <x v="72"/>
    <x v="1"/>
  </r>
  <r>
    <x v="0"/>
    <x v="73"/>
    <x v="73"/>
    <x v="109"/>
    <x v="109"/>
    <x v="109"/>
    <x v="9"/>
    <x v="301"/>
    <x v="257"/>
    <x v="53"/>
    <x v="288"/>
    <x v="44"/>
    <x v="330"/>
    <x v="1"/>
  </r>
  <r>
    <x v="0"/>
    <x v="73"/>
    <x v="73"/>
    <x v="7"/>
    <x v="7"/>
    <x v="7"/>
    <x v="9"/>
    <x v="301"/>
    <x v="257"/>
    <x v="59"/>
    <x v="387"/>
    <x v="73"/>
    <x v="72"/>
    <x v="1"/>
  </r>
  <r>
    <x v="0"/>
    <x v="73"/>
    <x v="73"/>
    <x v="16"/>
    <x v="16"/>
    <x v="16"/>
    <x v="11"/>
    <x v="302"/>
    <x v="98"/>
    <x v="50"/>
    <x v="84"/>
    <x v="63"/>
    <x v="452"/>
    <x v="1"/>
  </r>
  <r>
    <x v="0"/>
    <x v="73"/>
    <x v="73"/>
    <x v="15"/>
    <x v="15"/>
    <x v="15"/>
    <x v="11"/>
    <x v="302"/>
    <x v="98"/>
    <x v="111"/>
    <x v="158"/>
    <x v="46"/>
    <x v="419"/>
    <x v="1"/>
  </r>
  <r>
    <x v="0"/>
    <x v="73"/>
    <x v="73"/>
    <x v="14"/>
    <x v="14"/>
    <x v="14"/>
    <x v="11"/>
    <x v="302"/>
    <x v="98"/>
    <x v="68"/>
    <x v="320"/>
    <x v="73"/>
    <x v="72"/>
    <x v="1"/>
  </r>
  <r>
    <x v="0"/>
    <x v="73"/>
    <x v="73"/>
    <x v="5"/>
    <x v="5"/>
    <x v="5"/>
    <x v="11"/>
    <x v="302"/>
    <x v="98"/>
    <x v="75"/>
    <x v="588"/>
    <x v="66"/>
    <x v="237"/>
    <x v="1"/>
  </r>
  <r>
    <x v="0"/>
    <x v="73"/>
    <x v="73"/>
    <x v="9"/>
    <x v="9"/>
    <x v="9"/>
    <x v="11"/>
    <x v="302"/>
    <x v="98"/>
    <x v="68"/>
    <x v="320"/>
    <x v="73"/>
    <x v="72"/>
    <x v="1"/>
  </r>
  <r>
    <x v="0"/>
    <x v="73"/>
    <x v="73"/>
    <x v="21"/>
    <x v="21"/>
    <x v="21"/>
    <x v="11"/>
    <x v="302"/>
    <x v="98"/>
    <x v="111"/>
    <x v="158"/>
    <x v="46"/>
    <x v="419"/>
    <x v="1"/>
  </r>
  <r>
    <x v="0"/>
    <x v="73"/>
    <x v="73"/>
    <x v="42"/>
    <x v="42"/>
    <x v="42"/>
    <x v="17"/>
    <x v="304"/>
    <x v="16"/>
    <x v="82"/>
    <x v="391"/>
    <x v="56"/>
    <x v="290"/>
    <x v="1"/>
  </r>
  <r>
    <x v="0"/>
    <x v="73"/>
    <x v="73"/>
    <x v="77"/>
    <x v="77"/>
    <x v="77"/>
    <x v="17"/>
    <x v="304"/>
    <x v="16"/>
    <x v="82"/>
    <x v="391"/>
    <x v="56"/>
    <x v="290"/>
    <x v="1"/>
  </r>
  <r>
    <x v="0"/>
    <x v="73"/>
    <x v="73"/>
    <x v="40"/>
    <x v="40"/>
    <x v="40"/>
    <x v="17"/>
    <x v="304"/>
    <x v="16"/>
    <x v="82"/>
    <x v="391"/>
    <x v="56"/>
    <x v="290"/>
    <x v="1"/>
  </r>
  <r>
    <x v="0"/>
    <x v="73"/>
    <x v="73"/>
    <x v="87"/>
    <x v="87"/>
    <x v="87"/>
    <x v="17"/>
    <x v="304"/>
    <x v="16"/>
    <x v="53"/>
    <x v="288"/>
    <x v="66"/>
    <x v="237"/>
    <x v="1"/>
  </r>
  <r>
    <x v="0"/>
    <x v="73"/>
    <x v="73"/>
    <x v="8"/>
    <x v="8"/>
    <x v="8"/>
    <x v="17"/>
    <x v="304"/>
    <x v="16"/>
    <x v="53"/>
    <x v="288"/>
    <x v="66"/>
    <x v="237"/>
    <x v="1"/>
  </r>
  <r>
    <x v="0"/>
    <x v="73"/>
    <x v="73"/>
    <x v="2"/>
    <x v="2"/>
    <x v="2"/>
    <x v="17"/>
    <x v="304"/>
    <x v="16"/>
    <x v="75"/>
    <x v="588"/>
    <x v="73"/>
    <x v="72"/>
    <x v="1"/>
  </r>
  <r>
    <x v="0"/>
    <x v="74"/>
    <x v="74"/>
    <x v="38"/>
    <x v="38"/>
    <x v="38"/>
    <x v="0"/>
    <x v="239"/>
    <x v="374"/>
    <x v="68"/>
    <x v="605"/>
    <x v="74"/>
    <x v="453"/>
    <x v="1"/>
  </r>
  <r>
    <x v="0"/>
    <x v="74"/>
    <x v="74"/>
    <x v="4"/>
    <x v="4"/>
    <x v="4"/>
    <x v="1"/>
    <x v="302"/>
    <x v="375"/>
    <x v="111"/>
    <x v="158"/>
    <x v="46"/>
    <x v="454"/>
    <x v="1"/>
  </r>
  <r>
    <x v="0"/>
    <x v="74"/>
    <x v="74"/>
    <x v="10"/>
    <x v="10"/>
    <x v="10"/>
    <x v="1"/>
    <x v="302"/>
    <x v="375"/>
    <x v="68"/>
    <x v="605"/>
    <x v="73"/>
    <x v="72"/>
    <x v="1"/>
  </r>
  <r>
    <x v="0"/>
    <x v="74"/>
    <x v="74"/>
    <x v="5"/>
    <x v="5"/>
    <x v="5"/>
    <x v="3"/>
    <x v="304"/>
    <x v="101"/>
    <x v="75"/>
    <x v="80"/>
    <x v="73"/>
    <x v="72"/>
    <x v="1"/>
  </r>
  <r>
    <x v="0"/>
    <x v="74"/>
    <x v="74"/>
    <x v="110"/>
    <x v="110"/>
    <x v="110"/>
    <x v="4"/>
    <x v="305"/>
    <x v="376"/>
    <x v="50"/>
    <x v="234"/>
    <x v="56"/>
    <x v="455"/>
    <x v="1"/>
  </r>
  <r>
    <x v="0"/>
    <x v="74"/>
    <x v="74"/>
    <x v="65"/>
    <x v="65"/>
    <x v="65"/>
    <x v="4"/>
    <x v="305"/>
    <x v="376"/>
    <x v="50"/>
    <x v="234"/>
    <x v="56"/>
    <x v="455"/>
    <x v="1"/>
  </r>
  <r>
    <x v="0"/>
    <x v="74"/>
    <x v="74"/>
    <x v="87"/>
    <x v="87"/>
    <x v="87"/>
    <x v="4"/>
    <x v="305"/>
    <x v="376"/>
    <x v="53"/>
    <x v="432"/>
    <x v="73"/>
    <x v="72"/>
    <x v="1"/>
  </r>
  <r>
    <x v="0"/>
    <x v="74"/>
    <x v="74"/>
    <x v="73"/>
    <x v="73"/>
    <x v="73"/>
    <x v="7"/>
    <x v="306"/>
    <x v="146"/>
    <x v="50"/>
    <x v="234"/>
    <x v="66"/>
    <x v="94"/>
    <x v="1"/>
  </r>
  <r>
    <x v="0"/>
    <x v="74"/>
    <x v="74"/>
    <x v="59"/>
    <x v="59"/>
    <x v="59"/>
    <x v="7"/>
    <x v="306"/>
    <x v="146"/>
    <x v="82"/>
    <x v="228"/>
    <x v="73"/>
    <x v="72"/>
    <x v="1"/>
  </r>
  <r>
    <x v="0"/>
    <x v="74"/>
    <x v="74"/>
    <x v="89"/>
    <x v="89"/>
    <x v="89"/>
    <x v="7"/>
    <x v="306"/>
    <x v="146"/>
    <x v="50"/>
    <x v="234"/>
    <x v="66"/>
    <x v="94"/>
    <x v="1"/>
  </r>
  <r>
    <x v="0"/>
    <x v="74"/>
    <x v="74"/>
    <x v="108"/>
    <x v="108"/>
    <x v="108"/>
    <x v="7"/>
    <x v="306"/>
    <x v="146"/>
    <x v="50"/>
    <x v="234"/>
    <x v="66"/>
    <x v="94"/>
    <x v="1"/>
  </r>
  <r>
    <x v="0"/>
    <x v="74"/>
    <x v="74"/>
    <x v="77"/>
    <x v="77"/>
    <x v="77"/>
    <x v="7"/>
    <x v="306"/>
    <x v="146"/>
    <x v="50"/>
    <x v="234"/>
    <x v="66"/>
    <x v="94"/>
    <x v="1"/>
  </r>
  <r>
    <x v="0"/>
    <x v="74"/>
    <x v="74"/>
    <x v="91"/>
    <x v="91"/>
    <x v="91"/>
    <x v="7"/>
    <x v="306"/>
    <x v="146"/>
    <x v="50"/>
    <x v="234"/>
    <x v="66"/>
    <x v="94"/>
    <x v="1"/>
  </r>
  <r>
    <x v="0"/>
    <x v="74"/>
    <x v="74"/>
    <x v="72"/>
    <x v="72"/>
    <x v="72"/>
    <x v="7"/>
    <x v="306"/>
    <x v="146"/>
    <x v="82"/>
    <x v="228"/>
    <x v="73"/>
    <x v="72"/>
    <x v="1"/>
  </r>
  <r>
    <x v="0"/>
    <x v="74"/>
    <x v="74"/>
    <x v="111"/>
    <x v="111"/>
    <x v="111"/>
    <x v="7"/>
    <x v="306"/>
    <x v="146"/>
    <x v="82"/>
    <x v="228"/>
    <x v="73"/>
    <x v="72"/>
    <x v="1"/>
  </r>
  <r>
    <x v="0"/>
    <x v="74"/>
    <x v="74"/>
    <x v="93"/>
    <x v="93"/>
    <x v="93"/>
    <x v="7"/>
    <x v="306"/>
    <x v="146"/>
    <x v="50"/>
    <x v="234"/>
    <x v="66"/>
    <x v="94"/>
    <x v="1"/>
  </r>
  <r>
    <x v="0"/>
    <x v="74"/>
    <x v="74"/>
    <x v="40"/>
    <x v="40"/>
    <x v="40"/>
    <x v="7"/>
    <x v="306"/>
    <x v="146"/>
    <x v="50"/>
    <x v="234"/>
    <x v="66"/>
    <x v="94"/>
    <x v="1"/>
  </r>
  <r>
    <x v="0"/>
    <x v="74"/>
    <x v="74"/>
    <x v="112"/>
    <x v="112"/>
    <x v="112"/>
    <x v="7"/>
    <x v="306"/>
    <x v="146"/>
    <x v="111"/>
    <x v="158"/>
    <x v="56"/>
    <x v="455"/>
    <x v="1"/>
  </r>
  <r>
    <x v="0"/>
    <x v="74"/>
    <x v="74"/>
    <x v="113"/>
    <x v="113"/>
    <x v="113"/>
    <x v="7"/>
    <x v="306"/>
    <x v="146"/>
    <x v="111"/>
    <x v="158"/>
    <x v="56"/>
    <x v="455"/>
    <x v="1"/>
  </r>
  <r>
    <x v="0"/>
    <x v="74"/>
    <x v="74"/>
    <x v="114"/>
    <x v="114"/>
    <x v="114"/>
    <x v="7"/>
    <x v="306"/>
    <x v="146"/>
    <x v="50"/>
    <x v="234"/>
    <x v="66"/>
    <x v="94"/>
    <x v="1"/>
  </r>
  <r>
    <x v="0"/>
    <x v="74"/>
    <x v="74"/>
    <x v="31"/>
    <x v="31"/>
    <x v="31"/>
    <x v="7"/>
    <x v="306"/>
    <x v="146"/>
    <x v="82"/>
    <x v="228"/>
    <x v="73"/>
    <x v="72"/>
    <x v="1"/>
  </r>
  <r>
    <x v="0"/>
    <x v="74"/>
    <x v="74"/>
    <x v="115"/>
    <x v="115"/>
    <x v="115"/>
    <x v="7"/>
    <x v="306"/>
    <x v="146"/>
    <x v="50"/>
    <x v="234"/>
    <x v="73"/>
    <x v="72"/>
    <x v="1"/>
  </r>
  <r>
    <x v="0"/>
    <x v="74"/>
    <x v="74"/>
    <x v="7"/>
    <x v="7"/>
    <x v="7"/>
    <x v="7"/>
    <x v="306"/>
    <x v="146"/>
    <x v="82"/>
    <x v="228"/>
    <x v="73"/>
    <x v="72"/>
    <x v="1"/>
  </r>
  <r>
    <x v="0"/>
    <x v="74"/>
    <x v="74"/>
    <x v="106"/>
    <x v="106"/>
    <x v="106"/>
    <x v="7"/>
    <x v="306"/>
    <x v="146"/>
    <x v="50"/>
    <x v="234"/>
    <x v="66"/>
    <x v="94"/>
    <x v="1"/>
  </r>
  <r>
    <x v="0"/>
    <x v="74"/>
    <x v="74"/>
    <x v="47"/>
    <x v="47"/>
    <x v="47"/>
    <x v="7"/>
    <x v="306"/>
    <x v="146"/>
    <x v="82"/>
    <x v="228"/>
    <x v="73"/>
    <x v="72"/>
    <x v="1"/>
  </r>
  <r>
    <x v="0"/>
    <x v="74"/>
    <x v="74"/>
    <x v="9"/>
    <x v="9"/>
    <x v="9"/>
    <x v="7"/>
    <x v="306"/>
    <x v="146"/>
    <x v="82"/>
    <x v="228"/>
    <x v="73"/>
    <x v="72"/>
    <x v="1"/>
  </r>
  <r>
    <x v="0"/>
    <x v="74"/>
    <x v="74"/>
    <x v="45"/>
    <x v="45"/>
    <x v="45"/>
    <x v="7"/>
    <x v="306"/>
    <x v="146"/>
    <x v="82"/>
    <x v="228"/>
    <x v="73"/>
    <x v="72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6045CDA-465E-4801-89CD-817D777F1704}" name="pvt_L" cacheId="2206" applyNumberFormats="0" applyBorderFormats="0" applyFontFormats="0" applyPatternFormats="0" applyAlignmentFormats="0" applyWidthHeightFormats="1" dataCaption="値" updatedVersion="8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1201" firstHeaderRow="0" firstDataRow="1" firstDataCol="1"/>
  <pivotFields count="11">
    <pivotField showAll="0"/>
    <pivotField showAll="0"/>
    <pivotField axis="axisRow" showAll="0">
      <items count="7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t="default"/>
      </items>
    </pivotField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2"/>
    <field x="3"/>
  </rowFields>
  <rowItems count="120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4" baseField="0" baseItem="0" numFmtId="176"/>
    <dataField name="総数／構成比" fld="5" baseField="0" baseItem="0" numFmtId="177"/>
    <dataField name="個人／事業所数" fld="6" baseField="0" baseItem="0" numFmtId="176"/>
    <dataField name="個人／構成比" fld="7" baseField="0" baseItem="0" numFmtId="177"/>
    <dataField name="法人／事業所数" fld="8" baseField="0" baseItem="0" numFmtId="176"/>
    <dataField name="法人／構成比" fld="9" baseField="0" baseItem="0" numFmtId="177"/>
    <dataField name="法人以外の団体／事業所数" fld="10" baseField="0" baseItem="0" numFmtId="176"/>
  </dataFields>
  <formats count="16">
    <format dxfId="1099">
      <pivotArea field="2" type="button" dataOnly="0" labelOnly="1" outline="0" axis="axisRow" fieldPosition="0"/>
    </format>
    <format dxfId="1098">
      <pivotArea outline="0" fieldPosition="0">
        <references count="1">
          <reference field="4294967294" count="1">
            <x v="0"/>
          </reference>
        </references>
      </pivotArea>
    </format>
    <format dxfId="1097">
      <pivotArea outline="0" fieldPosition="0">
        <references count="1">
          <reference field="4294967294" count="1">
            <x v="1"/>
          </reference>
        </references>
      </pivotArea>
    </format>
    <format dxfId="1096">
      <pivotArea outline="0" fieldPosition="0">
        <references count="1">
          <reference field="4294967294" count="1">
            <x v="2"/>
          </reference>
        </references>
      </pivotArea>
    </format>
    <format dxfId="1095">
      <pivotArea outline="0" fieldPosition="0">
        <references count="1">
          <reference field="4294967294" count="1">
            <x v="3"/>
          </reference>
        </references>
      </pivotArea>
    </format>
    <format dxfId="1094">
      <pivotArea outline="0" fieldPosition="0">
        <references count="1">
          <reference field="4294967294" count="1">
            <x v="4"/>
          </reference>
        </references>
      </pivotArea>
    </format>
    <format dxfId="1093">
      <pivotArea outline="0" fieldPosition="0">
        <references count="1">
          <reference field="4294967294" count="1">
            <x v="5"/>
          </reference>
        </references>
      </pivotArea>
    </format>
    <format dxfId="1092">
      <pivotArea outline="0" fieldPosition="0">
        <references count="1">
          <reference field="4294967294" count="1">
            <x v="6"/>
          </reference>
        </references>
      </pivotArea>
    </format>
    <format dxfId="1091">
      <pivotArea field="2" type="button" dataOnly="0" labelOnly="1" outline="0" axis="axisRow" fieldPosition="0"/>
    </format>
    <format dxfId="109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89">
      <pivotArea field="2" type="button" dataOnly="0" labelOnly="1" outline="0" axis="axisRow" fieldPosition="0"/>
    </format>
    <format dxfId="108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87">
      <pivotArea field="2" type="button" dataOnly="0" labelOnly="1" outline="0" axis="axisRow" fieldPosition="0"/>
    </format>
    <format dxfId="108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8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8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B211778-D979-47B5-928F-7282113768DB}" name="pvt_M" cacheId="2207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1694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75">
        <item x="43"/>
        <item x="54"/>
        <item x="48"/>
        <item x="40"/>
        <item x="34"/>
        <item x="62"/>
        <item x="57"/>
        <item x="39"/>
        <item x="64"/>
        <item x="26"/>
        <item x="27"/>
        <item x="30"/>
        <item x="28"/>
        <item x="29"/>
        <item x="31"/>
        <item x="33"/>
        <item x="32"/>
        <item x="65"/>
        <item x="61"/>
        <item x="41"/>
        <item x="49"/>
        <item x="47"/>
        <item x="37"/>
        <item x="56"/>
        <item x="45"/>
        <item x="38"/>
        <item x="69"/>
        <item x="70"/>
        <item x="71"/>
        <item x="60"/>
        <item x="68"/>
        <item x="63"/>
        <item x="1"/>
        <item x="16"/>
        <item x="14"/>
        <item x="6"/>
        <item x="4"/>
        <item x="17"/>
        <item x="22"/>
        <item x="15"/>
        <item x="13"/>
        <item x="5"/>
        <item x="19"/>
        <item x="10"/>
        <item x="7"/>
        <item x="25"/>
        <item x="21"/>
        <item x="8"/>
        <item x="2"/>
        <item x="18"/>
        <item x="12"/>
        <item x="11"/>
        <item x="3"/>
        <item x="23"/>
        <item x="24"/>
        <item x="20"/>
        <item x="9"/>
        <item x="0"/>
        <item x="50"/>
        <item x="36"/>
        <item x="59"/>
        <item x="58"/>
        <item x="73"/>
        <item x="74"/>
        <item x="72"/>
        <item x="53"/>
        <item x="44"/>
        <item x="46"/>
        <item x="35"/>
        <item x="67"/>
        <item x="66"/>
        <item x="42"/>
        <item x="52"/>
        <item x="55"/>
        <item x="51"/>
      </items>
    </pivotField>
    <pivotField axis="axisRow" showAll="0" insertBlankRow="1" defaultSubtotal="0">
      <items count="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</items>
    </pivotField>
    <pivotField showAll="0" defaultSubtotal="0">
      <items count="52">
        <item x="5"/>
        <item x="10"/>
        <item x="9"/>
        <item x="51"/>
        <item x="23"/>
        <item x="44"/>
        <item x="43"/>
        <item x="33"/>
        <item x="22"/>
        <item x="34"/>
        <item x="35"/>
        <item x="38"/>
        <item x="48"/>
        <item x="30"/>
        <item x="11"/>
        <item x="28"/>
        <item x="29"/>
        <item x="46"/>
        <item x="36"/>
        <item x="27"/>
        <item x="41"/>
        <item x="42"/>
        <item x="40"/>
        <item x="50"/>
        <item x="25"/>
        <item x="21"/>
        <item x="24"/>
        <item x="18"/>
        <item x="16"/>
        <item x="15"/>
        <item x="12"/>
        <item x="7"/>
        <item x="13"/>
        <item x="3"/>
        <item x="37"/>
        <item x="14"/>
        <item x="1"/>
        <item x="4"/>
        <item x="17"/>
        <item x="39"/>
        <item x="0"/>
        <item x="26"/>
        <item x="2"/>
        <item x="32"/>
        <item x="47"/>
        <item x="8"/>
        <item x="6"/>
        <item x="19"/>
        <item x="49"/>
        <item x="31"/>
        <item x="45"/>
        <item x="20"/>
      </items>
    </pivotField>
    <pivotField showAll="0" defaultSubtotal="0">
      <items count="52">
        <item x="35"/>
        <item x="15"/>
        <item x="8"/>
        <item x="20"/>
        <item x="3"/>
        <item x="32"/>
        <item x="36"/>
        <item x="38"/>
        <item x="33"/>
        <item x="28"/>
        <item x="34"/>
        <item x="6"/>
        <item x="22"/>
        <item x="0"/>
        <item x="24"/>
        <item x="7"/>
        <item x="25"/>
        <item x="41"/>
        <item x="43"/>
        <item x="16"/>
        <item x="13"/>
        <item x="45"/>
        <item x="17"/>
        <item x="11"/>
        <item x="18"/>
        <item x="47"/>
        <item x="50"/>
        <item x="26"/>
        <item x="31"/>
        <item x="19"/>
        <item x="39"/>
        <item x="27"/>
        <item x="12"/>
        <item x="10"/>
        <item x="51"/>
        <item x="29"/>
        <item x="9"/>
        <item x="4"/>
        <item x="2"/>
        <item x="21"/>
        <item x="23"/>
        <item x="5"/>
        <item x="30"/>
        <item x="46"/>
        <item x="40"/>
        <item x="42"/>
        <item x="49"/>
        <item x="14"/>
        <item x="1"/>
        <item x="37"/>
        <item x="44"/>
        <item x="48"/>
      </items>
    </pivotField>
    <pivotField axis="axisRow" showAll="0" defaultSubtotal="0">
      <items count="52">
        <item x="5"/>
        <item x="10"/>
        <item x="9"/>
        <item x="51"/>
        <item x="23"/>
        <item x="44"/>
        <item x="43"/>
        <item x="33"/>
        <item x="22"/>
        <item x="34"/>
        <item x="35"/>
        <item x="38"/>
        <item x="48"/>
        <item x="30"/>
        <item x="11"/>
        <item x="28"/>
        <item x="29"/>
        <item x="46"/>
        <item x="36"/>
        <item x="27"/>
        <item x="41"/>
        <item x="42"/>
        <item x="40"/>
        <item x="50"/>
        <item x="25"/>
        <item x="21"/>
        <item x="24"/>
        <item x="18"/>
        <item x="16"/>
        <item x="15"/>
        <item x="12"/>
        <item x="7"/>
        <item x="13"/>
        <item x="3"/>
        <item x="37"/>
        <item x="14"/>
        <item x="1"/>
        <item x="4"/>
        <item x="17"/>
        <item x="39"/>
        <item x="0"/>
        <item x="26"/>
        <item x="2"/>
        <item x="32"/>
        <item x="47"/>
        <item x="8"/>
        <item x="6"/>
        <item x="19"/>
        <item x="49"/>
        <item x="31"/>
        <item x="45"/>
        <item x="20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416">
        <item x="415"/>
        <item x="414"/>
        <item x="413"/>
        <item x="412"/>
        <item x="411"/>
        <item x="410"/>
        <item x="409"/>
        <item x="408"/>
        <item x="406"/>
        <item x="405"/>
        <item x="407"/>
        <item x="308"/>
        <item x="318"/>
        <item x="307"/>
        <item x="89"/>
        <item x="391"/>
        <item x="306"/>
        <item x="305"/>
        <item x="317"/>
        <item x="88"/>
        <item x="87"/>
        <item x="86"/>
        <item x="85"/>
        <item x="84"/>
        <item x="342"/>
        <item x="83"/>
        <item x="304"/>
        <item x="195"/>
        <item x="194"/>
        <item x="131"/>
        <item x="159"/>
        <item x="313"/>
        <item x="130"/>
        <item x="120"/>
        <item x="119"/>
        <item x="129"/>
        <item x="118"/>
        <item x="128"/>
        <item x="59"/>
        <item x="82"/>
        <item x="73"/>
        <item x="127"/>
        <item x="58"/>
        <item x="57"/>
        <item x="81"/>
        <item x="56"/>
        <item x="55"/>
        <item x="117"/>
        <item x="116"/>
        <item x="72"/>
        <item x="126"/>
        <item x="115"/>
        <item x="71"/>
        <item x="80"/>
        <item x="54"/>
        <item x="70"/>
        <item x="210"/>
        <item x="177"/>
        <item x="53"/>
        <item x="69"/>
        <item x="52"/>
        <item x="193"/>
        <item x="158"/>
        <item x="51"/>
        <item x="79"/>
        <item x="209"/>
        <item x="143"/>
        <item x="192"/>
        <item x="157"/>
        <item x="156"/>
        <item x="114"/>
        <item x="176"/>
        <item x="50"/>
        <item x="78"/>
        <item x="49"/>
        <item x="223"/>
        <item x="77"/>
        <item x="68"/>
        <item x="219"/>
        <item x="200"/>
        <item x="48"/>
        <item x="155"/>
        <item x="208"/>
        <item x="125"/>
        <item x="67"/>
        <item x="124"/>
        <item x="154"/>
        <item x="142"/>
        <item x="141"/>
        <item x="168"/>
        <item x="66"/>
        <item x="140"/>
        <item x="186"/>
        <item x="47"/>
        <item x="113"/>
        <item x="199"/>
        <item x="139"/>
        <item x="46"/>
        <item x="108"/>
        <item x="107"/>
        <item x="149"/>
        <item x="123"/>
        <item x="185"/>
        <item x="148"/>
        <item x="76"/>
        <item x="175"/>
        <item x="45"/>
        <item x="112"/>
        <item x="198"/>
        <item x="44"/>
        <item x="106"/>
        <item x="248"/>
        <item x="238"/>
        <item x="105"/>
        <item x="65"/>
        <item x="147"/>
        <item x="324"/>
        <item x="184"/>
        <item x="191"/>
        <item x="138"/>
        <item x="137"/>
        <item x="75"/>
        <item x="302"/>
        <item x="146"/>
        <item x="167"/>
        <item x="207"/>
        <item x="341"/>
        <item x="312"/>
        <item x="174"/>
        <item x="298"/>
        <item x="104"/>
        <item x="173"/>
        <item x="166"/>
        <item x="165"/>
        <item x="311"/>
        <item x="64"/>
        <item x="355"/>
        <item x="103"/>
        <item x="206"/>
        <item x="190"/>
        <item x="205"/>
        <item x="122"/>
        <item x="303"/>
        <item x="164"/>
        <item x="163"/>
        <item x="153"/>
        <item x="102"/>
        <item x="43"/>
        <item x="222"/>
        <item x="101"/>
        <item x="111"/>
        <item x="332"/>
        <item x="172"/>
        <item x="136"/>
        <item x="301"/>
        <item x="110"/>
        <item x="63"/>
        <item x="316"/>
        <item x="237"/>
        <item x="240"/>
        <item x="247"/>
        <item x="354"/>
        <item x="152"/>
        <item x="100"/>
        <item x="62"/>
        <item x="171"/>
        <item x="189"/>
        <item x="236"/>
        <item x="234"/>
        <item x="297"/>
        <item x="218"/>
        <item x="377"/>
        <item x="339"/>
        <item x="135"/>
        <item x="151"/>
        <item x="233"/>
        <item x="99"/>
        <item x="296"/>
        <item x="382"/>
        <item x="323"/>
        <item x="376"/>
        <item x="204"/>
        <item x="362"/>
        <item x="232"/>
        <item x="361"/>
        <item x="246"/>
        <item x="231"/>
        <item x="214"/>
        <item x="42"/>
        <item x="386"/>
        <item x="300"/>
        <item x="230"/>
        <item x="310"/>
        <item x="229"/>
        <item x="350"/>
        <item x="368"/>
        <item x="379"/>
        <item x="74"/>
        <item x="299"/>
        <item x="338"/>
        <item x="98"/>
        <item x="292"/>
        <item x="221"/>
        <item x="353"/>
        <item x="97"/>
        <item x="367"/>
        <item x="375"/>
        <item x="96"/>
        <item x="245"/>
        <item x="351"/>
        <item x="95"/>
        <item x="150"/>
        <item x="331"/>
        <item x="239"/>
        <item x="260"/>
        <item x="203"/>
        <item x="277"/>
        <item x="374"/>
        <item x="291"/>
        <item x="392"/>
        <item x="309"/>
        <item x="183"/>
        <item x="366"/>
        <item x="349"/>
        <item x="188"/>
        <item x="182"/>
        <item x="94"/>
        <item x="121"/>
        <item x="322"/>
        <item x="388"/>
        <item x="217"/>
        <item x="187"/>
        <item x="315"/>
        <item x="61"/>
        <item x="378"/>
        <item x="390"/>
        <item x="348"/>
        <item x="330"/>
        <item x="93"/>
        <item x="314"/>
        <item x="404"/>
        <item x="197"/>
        <item x="347"/>
        <item x="276"/>
        <item x="259"/>
        <item x="403"/>
        <item x="295"/>
        <item x="170"/>
        <item x="258"/>
        <item x="162"/>
        <item x="181"/>
        <item x="360"/>
        <item x="244"/>
        <item x="109"/>
        <item x="257"/>
        <item x="334"/>
        <item x="134"/>
        <item x="373"/>
        <item x="275"/>
        <item x="213"/>
        <item x="385"/>
        <item x="346"/>
        <item x="340"/>
        <item x="333"/>
        <item x="290"/>
        <item x="243"/>
        <item x="256"/>
        <item x="294"/>
        <item x="133"/>
        <item x="352"/>
        <item x="169"/>
        <item x="359"/>
        <item x="274"/>
        <item x="383"/>
        <item x="228"/>
        <item x="180"/>
        <item x="329"/>
        <item x="235"/>
        <item x="273"/>
        <item x="402"/>
        <item x="321"/>
        <item x="220"/>
        <item x="145"/>
        <item x="196"/>
        <item x="212"/>
        <item x="144"/>
        <item x="401"/>
        <item x="202"/>
        <item x="41"/>
        <item x="227"/>
        <item x="328"/>
        <item x="320"/>
        <item x="255"/>
        <item x="40"/>
        <item x="132"/>
        <item x="272"/>
        <item x="216"/>
        <item x="161"/>
        <item x="215"/>
        <item x="226"/>
        <item x="60"/>
        <item x="384"/>
        <item x="387"/>
        <item x="242"/>
        <item x="271"/>
        <item x="289"/>
        <item x="288"/>
        <item x="365"/>
        <item x="381"/>
        <item x="389"/>
        <item x="179"/>
        <item x="319"/>
        <item x="201"/>
        <item x="372"/>
        <item x="270"/>
        <item x="400"/>
        <item x="254"/>
        <item x="358"/>
        <item x="399"/>
        <item x="398"/>
        <item x="211"/>
        <item x="178"/>
        <item x="287"/>
        <item x="286"/>
        <item x="337"/>
        <item x="92"/>
        <item x="364"/>
        <item x="253"/>
        <item x="397"/>
        <item x="91"/>
        <item x="241"/>
        <item x="160"/>
        <item x="90"/>
        <item x="336"/>
        <item x="357"/>
        <item x="269"/>
        <item x="345"/>
        <item x="380"/>
        <item x="268"/>
        <item x="371"/>
        <item x="225"/>
        <item x="344"/>
        <item x="370"/>
        <item x="252"/>
        <item x="293"/>
        <item x="267"/>
        <item x="343"/>
        <item x="285"/>
        <item x="284"/>
        <item x="369"/>
        <item x="356"/>
        <item x="266"/>
        <item x="283"/>
        <item x="265"/>
        <item x="327"/>
        <item x="224"/>
        <item x="282"/>
        <item x="281"/>
        <item x="363"/>
        <item x="264"/>
        <item x="326"/>
        <item x="335"/>
        <item x="396"/>
        <item x="325"/>
        <item x="251"/>
        <item x="395"/>
        <item x="394"/>
        <item x="263"/>
        <item x="280"/>
        <item x="279"/>
        <item x="393"/>
        <item x="39"/>
        <item x="278"/>
        <item x="38"/>
        <item x="37"/>
        <item x="262"/>
        <item x="36"/>
        <item x="35"/>
        <item x="34"/>
        <item x="33"/>
        <item x="250"/>
        <item x="32"/>
        <item x="31"/>
        <item x="30"/>
        <item x="261"/>
        <item x="249"/>
        <item x="29"/>
        <item x="28"/>
        <item x="27"/>
        <item x="19"/>
        <item x="26"/>
        <item x="25"/>
        <item x="18"/>
        <item x="17"/>
        <item x="16"/>
        <item x="15"/>
        <item x="14"/>
        <item x="13"/>
        <item x="24"/>
        <item x="12"/>
        <item x="23"/>
        <item x="11"/>
        <item x="10"/>
        <item x="9"/>
        <item x="8"/>
        <item x="22"/>
        <item x="7"/>
        <item x="6"/>
        <item x="5"/>
        <item x="4"/>
        <item x="21"/>
        <item x="3"/>
        <item x="20"/>
        <item x="2"/>
        <item x="1"/>
        <item x="0"/>
      </items>
    </pivotField>
    <pivotField dataField="1" showAll="0" defaultSubtotal="0">
      <items count="634">
        <item x="372"/>
        <item x="255"/>
        <item x="555"/>
        <item x="447"/>
        <item x="590"/>
        <item x="438"/>
        <item x="504"/>
        <item x="244"/>
        <item x="576"/>
        <item x="85"/>
        <item x="597"/>
        <item x="243"/>
        <item x="446"/>
        <item x="147"/>
        <item x="242"/>
        <item x="362"/>
        <item x="540"/>
        <item x="422"/>
        <item x="394"/>
        <item x="331"/>
        <item x="554"/>
        <item x="569"/>
        <item x="342"/>
        <item x="400"/>
        <item x="437"/>
        <item x="496"/>
        <item x="130"/>
        <item x="406"/>
        <item x="361"/>
        <item x="371"/>
        <item x="276"/>
        <item x="173"/>
        <item x="223"/>
        <item x="241"/>
        <item x="19"/>
        <item x="146"/>
        <item x="222"/>
        <item x="129"/>
        <item x="145"/>
        <item x="298"/>
        <item x="568"/>
        <item x="53"/>
        <item x="353"/>
        <item x="323"/>
        <item x="159"/>
        <item x="84"/>
        <item x="187"/>
        <item x="352"/>
        <item x="70"/>
        <item x="172"/>
        <item x="477"/>
        <item x="115"/>
        <item x="83"/>
        <item x="171"/>
        <item x="38"/>
        <item x="288"/>
        <item x="18"/>
        <item x="144"/>
        <item x="128"/>
        <item x="52"/>
        <item x="266"/>
        <item x="186"/>
        <item x="297"/>
        <item x="414"/>
        <item x="388"/>
        <item x="114"/>
        <item x="82"/>
        <item x="51"/>
        <item x="69"/>
        <item x="495"/>
        <item x="476"/>
        <item x="37"/>
        <item x="275"/>
        <item x="81"/>
        <item x="127"/>
        <item x="17"/>
        <item x="296"/>
        <item x="98"/>
        <item x="113"/>
        <item x="413"/>
        <item x="16"/>
        <item x="330"/>
        <item x="509"/>
        <item x="112"/>
        <item x="212"/>
        <item x="15"/>
        <item x="211"/>
        <item x="97"/>
        <item x="80"/>
        <item x="475"/>
        <item x="36"/>
        <item x="68"/>
        <item x="185"/>
        <item x="96"/>
        <item x="254"/>
        <item x="412"/>
        <item x="370"/>
        <item x="210"/>
        <item x="308"/>
        <item x="209"/>
        <item x="50"/>
        <item x="126"/>
        <item x="14"/>
        <item x="67"/>
        <item x="341"/>
        <item x="111"/>
        <item x="387"/>
        <item x="421"/>
        <item x="13"/>
        <item x="35"/>
        <item x="379"/>
        <item x="436"/>
        <item x="143"/>
        <item x="34"/>
        <item x="66"/>
        <item x="33"/>
        <item x="240"/>
        <item x="322"/>
        <item x="208"/>
        <item x="110"/>
        <item x="158"/>
        <item x="518"/>
        <item x="49"/>
        <item x="265"/>
        <item x="157"/>
        <item x="184"/>
        <item x="65"/>
        <item x="287"/>
        <item x="488"/>
        <item x="452"/>
        <item x="64"/>
        <item x="32"/>
        <item x="109"/>
        <item x="31"/>
        <item x="12"/>
        <item x="170"/>
        <item x="30"/>
        <item x="317"/>
        <item x="457"/>
        <item x="199"/>
        <item x="386"/>
        <item x="253"/>
        <item x="29"/>
        <item x="274"/>
        <item x="633"/>
        <item x="198"/>
        <item x="351"/>
        <item x="230"/>
        <item x="197"/>
        <item x="108"/>
        <item x="207"/>
        <item x="95"/>
        <item x="28"/>
        <item x="340"/>
        <item x="183"/>
        <item x="369"/>
        <item x="11"/>
        <item x="539"/>
        <item x="94"/>
        <item x="286"/>
        <item x="411"/>
        <item x="470"/>
        <item x="156"/>
        <item x="264"/>
        <item x="48"/>
        <item x="469"/>
        <item x="285"/>
        <item x="125"/>
        <item x="182"/>
        <item x="239"/>
        <item x="47"/>
        <item x="273"/>
        <item x="307"/>
        <item x="321"/>
        <item x="532"/>
        <item x="295"/>
        <item x="63"/>
        <item x="27"/>
        <item x="596"/>
        <item x="142"/>
        <item x="306"/>
        <item x="339"/>
        <item x="93"/>
        <item x="10"/>
        <item x="385"/>
        <item x="79"/>
        <item x="427"/>
        <item x="124"/>
        <item x="141"/>
        <item x="221"/>
        <item x="9"/>
        <item x="8"/>
        <item x="252"/>
        <item x="229"/>
        <item x="62"/>
        <item x="284"/>
        <item x="368"/>
        <item x="155"/>
        <item x="435"/>
        <item x="228"/>
        <item x="283"/>
        <item x="531"/>
        <item x="140"/>
        <item x="544"/>
        <item x="595"/>
        <item x="294"/>
        <item x="562"/>
        <item x="445"/>
        <item x="282"/>
        <item x="92"/>
        <item x="169"/>
        <item x="107"/>
        <item x="123"/>
        <item x="523"/>
        <item x="26"/>
        <item x="468"/>
        <item x="181"/>
        <item x="338"/>
        <item x="78"/>
        <item x="25"/>
        <item x="61"/>
        <item x="316"/>
        <item x="350"/>
        <item x="410"/>
        <item x="444"/>
        <item x="220"/>
        <item x="206"/>
        <item x="349"/>
        <item x="263"/>
        <item x="7"/>
        <item x="434"/>
        <item x="251"/>
        <item x="46"/>
        <item x="535"/>
        <item x="617"/>
        <item x="219"/>
        <item x="561"/>
        <item x="315"/>
        <item x="60"/>
        <item x="272"/>
        <item x="168"/>
        <item x="575"/>
        <item x="196"/>
        <item x="503"/>
        <item x="238"/>
        <item x="378"/>
        <item x="305"/>
        <item x="45"/>
        <item x="464"/>
        <item x="367"/>
        <item x="393"/>
        <item x="139"/>
        <item x="456"/>
        <item x="6"/>
        <item x="154"/>
        <item x="517"/>
        <item x="574"/>
        <item x="314"/>
        <item x="560"/>
        <item x="167"/>
        <item x="628"/>
        <item x="329"/>
        <item x="91"/>
        <item x="180"/>
        <item x="153"/>
        <item x="433"/>
        <item x="530"/>
        <item x="166"/>
        <item x="138"/>
        <item x="522"/>
        <item x="137"/>
        <item x="5"/>
        <item x="136"/>
        <item x="77"/>
        <item x="384"/>
        <item x="44"/>
        <item x="348"/>
        <item x="567"/>
        <item x="494"/>
        <item x="90"/>
        <item x="538"/>
        <item x="508"/>
        <item x="360"/>
        <item x="179"/>
        <item x="43"/>
        <item x="513"/>
        <item x="178"/>
        <item x="455"/>
        <item x="106"/>
        <item x="304"/>
        <item x="250"/>
        <item x="420"/>
        <item x="366"/>
        <item x="237"/>
        <item x="165"/>
        <item x="195"/>
        <item x="377"/>
        <item x="293"/>
        <item x="483"/>
        <item x="313"/>
        <item x="262"/>
        <item x="328"/>
        <item x="474"/>
        <item x="105"/>
        <item x="392"/>
        <item x="194"/>
        <item x="89"/>
        <item x="601"/>
        <item x="502"/>
        <item x="152"/>
        <item x="589"/>
        <item x="164"/>
        <item x="177"/>
        <item x="409"/>
        <item x="193"/>
        <item x="337"/>
        <item x="59"/>
        <item x="261"/>
        <item x="482"/>
        <item x="122"/>
        <item x="493"/>
        <item x="467"/>
        <item x="582"/>
        <item x="616"/>
        <item x="260"/>
        <item x="454"/>
        <item x="121"/>
        <item x="4"/>
        <item x="451"/>
        <item x="347"/>
        <item x="236"/>
        <item x="88"/>
        <item x="151"/>
        <item x="419"/>
        <item x="443"/>
        <item x="76"/>
        <item x="566"/>
        <item x="492"/>
        <item x="383"/>
        <item x="548"/>
        <item x="391"/>
        <item x="512"/>
        <item x="432"/>
        <item x="192"/>
        <item x="529"/>
        <item x="120"/>
        <item x="104"/>
        <item x="511"/>
        <item x="24"/>
        <item x="609"/>
        <item x="359"/>
        <item x="426"/>
        <item x="450"/>
        <item x="543"/>
        <item x="3"/>
        <item x="227"/>
        <item x="553"/>
        <item x="135"/>
        <item x="399"/>
        <item x="218"/>
        <item x="259"/>
        <item x="463"/>
        <item x="491"/>
        <item x="594"/>
        <item x="565"/>
        <item x="462"/>
        <item x="336"/>
        <item x="547"/>
        <item x="292"/>
        <item x="442"/>
        <item x="191"/>
        <item x="281"/>
        <item x="58"/>
        <item x="205"/>
        <item x="291"/>
        <item x="376"/>
        <item x="398"/>
        <item x="75"/>
        <item x="335"/>
        <item x="622"/>
        <item x="204"/>
        <item x="119"/>
        <item x="461"/>
        <item x="327"/>
        <item x="630"/>
        <item x="42"/>
        <item x="103"/>
        <item x="358"/>
        <item x="249"/>
        <item x="487"/>
        <item x="74"/>
        <item x="418"/>
        <item x="375"/>
        <item x="235"/>
        <item x="528"/>
        <item x="217"/>
        <item x="586"/>
        <item x="23"/>
        <item x="190"/>
        <item x="552"/>
        <item x="271"/>
        <item x="608"/>
        <item x="280"/>
        <item x="573"/>
        <item x="615"/>
        <item x="134"/>
        <item x="627"/>
        <item x="516"/>
        <item x="605"/>
        <item x="542"/>
        <item x="600"/>
        <item x="405"/>
        <item x="303"/>
        <item x="486"/>
        <item x="593"/>
        <item x="404"/>
        <item x="607"/>
        <item x="585"/>
        <item x="57"/>
        <item x="460"/>
        <item x="614"/>
        <item x="527"/>
        <item x="203"/>
        <item x="449"/>
        <item x="312"/>
        <item x="481"/>
        <item x="346"/>
        <item x="279"/>
        <item x="163"/>
        <item x="480"/>
        <item x="559"/>
        <item x="234"/>
        <item x="150"/>
        <item x="479"/>
        <item x="501"/>
        <item x="248"/>
        <item x="56"/>
        <item x="621"/>
        <item x="302"/>
        <item x="625"/>
        <item x="581"/>
        <item x="216"/>
        <item x="613"/>
        <item x="382"/>
        <item x="500"/>
        <item x="311"/>
        <item x="431"/>
        <item x="102"/>
        <item x="604"/>
        <item x="473"/>
        <item x="345"/>
        <item x="357"/>
        <item x="381"/>
        <item x="101"/>
        <item x="430"/>
        <item x="162"/>
        <item x="620"/>
        <item x="22"/>
        <item x="118"/>
        <item x="270"/>
        <item x="2"/>
        <item x="629"/>
        <item x="397"/>
        <item x="202"/>
        <item x="258"/>
        <item x="41"/>
        <item x="592"/>
        <item x="507"/>
        <item x="534"/>
        <item x="396"/>
        <item x="100"/>
        <item x="580"/>
        <item x="73"/>
        <item x="117"/>
        <item x="558"/>
        <item x="591"/>
        <item x="579"/>
        <item x="521"/>
        <item x="485"/>
        <item x="301"/>
        <item x="161"/>
        <item x="499"/>
        <item x="233"/>
        <item x="588"/>
        <item x="344"/>
        <item x="612"/>
        <item x="478"/>
        <item x="564"/>
        <item x="520"/>
        <item x="425"/>
        <item x="290"/>
        <item x="380"/>
        <item x="578"/>
        <item x="269"/>
        <item x="215"/>
        <item x="403"/>
        <item x="326"/>
        <item x="320"/>
        <item x="599"/>
        <item x="551"/>
        <item x="374"/>
        <item x="472"/>
        <item x="603"/>
        <item x="226"/>
        <item x="526"/>
        <item x="453"/>
        <item x="537"/>
        <item x="563"/>
        <item x="356"/>
        <item x="176"/>
        <item x="72"/>
        <item x="402"/>
        <item x="408"/>
        <item x="557"/>
        <item x="525"/>
        <item x="515"/>
        <item x="424"/>
        <item x="300"/>
        <item x="278"/>
        <item x="355"/>
        <item x="514"/>
        <item x="87"/>
        <item x="334"/>
        <item x="333"/>
        <item x="624"/>
        <item x="611"/>
        <item x="417"/>
        <item x="310"/>
        <item x="448"/>
        <item x="471"/>
        <item x="86"/>
        <item x="556"/>
        <item x="577"/>
        <item x="546"/>
        <item x="354"/>
        <item x="606"/>
        <item x="189"/>
        <item x="623"/>
        <item x="133"/>
        <item x="572"/>
        <item x="299"/>
        <item x="506"/>
        <item x="498"/>
        <item x="571"/>
        <item x="373"/>
        <item x="632"/>
        <item x="201"/>
        <item x="247"/>
        <item x="160"/>
        <item x="55"/>
        <item x="390"/>
        <item x="619"/>
        <item x="598"/>
        <item x="459"/>
        <item x="132"/>
        <item x="466"/>
        <item x="21"/>
        <item x="200"/>
        <item x="490"/>
        <item x="441"/>
        <item x="389"/>
        <item x="587"/>
        <item x="332"/>
        <item x="365"/>
        <item x="489"/>
        <item x="364"/>
        <item x="545"/>
        <item x="407"/>
        <item x="610"/>
        <item x="401"/>
        <item x="1"/>
        <item x="188"/>
        <item x="584"/>
        <item x="440"/>
        <item x="0"/>
        <item x="524"/>
        <item x="225"/>
        <item x="602"/>
        <item x="309"/>
        <item x="618"/>
        <item x="497"/>
        <item x="257"/>
        <item x="439"/>
        <item x="256"/>
        <item x="277"/>
        <item x="533"/>
        <item x="246"/>
        <item x="458"/>
        <item x="214"/>
        <item x="505"/>
        <item x="175"/>
        <item x="232"/>
        <item x="213"/>
        <item x="131"/>
        <item x="20"/>
        <item x="583"/>
        <item x="325"/>
        <item x="429"/>
        <item x="224"/>
        <item x="541"/>
        <item x="99"/>
        <item x="149"/>
        <item x="268"/>
        <item x="626"/>
        <item x="116"/>
        <item x="267"/>
        <item x="148"/>
        <item x="416"/>
        <item x="550"/>
        <item x="40"/>
        <item x="39"/>
        <item x="415"/>
        <item x="549"/>
        <item x="423"/>
        <item x="324"/>
        <item x="343"/>
        <item x="363"/>
        <item x="536"/>
        <item x="71"/>
        <item x="231"/>
        <item x="631"/>
        <item x="245"/>
        <item x="54"/>
        <item x="395"/>
        <item x="289"/>
        <item x="174"/>
        <item x="319"/>
        <item x="428"/>
        <item x="510"/>
        <item x="484"/>
        <item x="465"/>
        <item x="318"/>
        <item x="570"/>
        <item x="519"/>
      </items>
    </pivotField>
    <pivotField dataField="1" showAll="0" defaultSubtotal="0">
      <items count="306">
        <item x="56"/>
        <item x="68"/>
        <item x="82"/>
        <item x="105"/>
        <item x="83"/>
        <item x="70"/>
        <item x="52"/>
        <item x="67"/>
        <item x="50"/>
        <item x="54"/>
        <item x="75"/>
        <item x="46"/>
        <item x="65"/>
        <item x="76"/>
        <item x="77"/>
        <item x="49"/>
        <item x="55"/>
        <item x="81"/>
        <item x="109"/>
        <item x="104"/>
        <item x="53"/>
        <item x="69"/>
        <item x="80"/>
        <item x="58"/>
        <item x="100"/>
        <item x="57"/>
        <item x="155"/>
        <item x="115"/>
        <item x="51"/>
        <item x="120"/>
        <item x="103"/>
        <item x="198"/>
        <item x="79"/>
        <item x="138"/>
        <item x="102"/>
        <item x="148"/>
        <item x="127"/>
        <item x="78"/>
        <item x="200"/>
        <item x="154"/>
        <item x="208"/>
        <item x="19"/>
        <item x="134"/>
        <item x="147"/>
        <item x="136"/>
        <item x="66"/>
        <item x="48"/>
        <item x="122"/>
        <item x="91"/>
        <item x="187"/>
        <item x="74"/>
        <item x="124"/>
        <item x="47"/>
        <item x="116"/>
        <item x="201"/>
        <item x="86"/>
        <item x="126"/>
        <item x="199"/>
        <item x="191"/>
        <item x="235"/>
        <item x="101"/>
        <item x="63"/>
        <item x="149"/>
        <item x="93"/>
        <item x="190"/>
        <item x="73"/>
        <item x="225"/>
        <item x="168"/>
        <item x="45"/>
        <item x="146"/>
        <item x="107"/>
        <item x="72"/>
        <item x="271"/>
        <item x="62"/>
        <item x="95"/>
        <item x="108"/>
        <item x="231"/>
        <item x="121"/>
        <item x="98"/>
        <item x="64"/>
        <item x="89"/>
        <item x="90"/>
        <item x="119"/>
        <item x="236"/>
        <item x="130"/>
        <item x="161"/>
        <item x="117"/>
        <item x="97"/>
        <item x="99"/>
        <item x="92"/>
        <item x="226"/>
        <item x="60"/>
        <item x="44"/>
        <item x="43"/>
        <item x="132"/>
        <item x="165"/>
        <item x="167"/>
        <item x="113"/>
        <item x="260"/>
        <item x="133"/>
        <item x="194"/>
        <item x="114"/>
        <item x="153"/>
        <item x="297"/>
        <item x="264"/>
        <item x="135"/>
        <item x="110"/>
        <item x="137"/>
        <item x="294"/>
        <item x="195"/>
        <item x="239"/>
        <item x="220"/>
        <item x="159"/>
        <item x="270"/>
        <item x="237"/>
        <item x="176"/>
        <item x="87"/>
        <item x="246"/>
        <item x="172"/>
        <item x="186"/>
        <item x="61"/>
        <item x="160"/>
        <item x="177"/>
        <item x="125"/>
        <item x="259"/>
        <item x="178"/>
        <item x="217"/>
        <item x="229"/>
        <item x="41"/>
        <item x="305"/>
        <item x="188"/>
        <item x="286"/>
        <item x="145"/>
        <item x="206"/>
        <item x="151"/>
        <item x="96"/>
        <item x="262"/>
        <item x="42"/>
        <item x="166"/>
        <item x="173"/>
        <item x="184"/>
        <item x="197"/>
        <item x="189"/>
        <item x="269"/>
        <item x="265"/>
        <item x="268"/>
        <item x="228"/>
        <item x="152"/>
        <item x="253"/>
        <item x="257"/>
        <item x="291"/>
        <item x="38"/>
        <item x="251"/>
        <item x="296"/>
        <item x="258"/>
        <item x="193"/>
        <item x="88"/>
        <item x="162"/>
        <item x="261"/>
        <item x="248"/>
        <item x="281"/>
        <item x="185"/>
        <item x="283"/>
        <item x="232"/>
        <item x="230"/>
        <item x="182"/>
        <item x="275"/>
        <item x="71"/>
        <item x="245"/>
        <item x="156"/>
        <item x="143"/>
        <item x="180"/>
        <item x="279"/>
        <item x="164"/>
        <item x="141"/>
        <item x="288"/>
        <item x="169"/>
        <item x="144"/>
        <item x="280"/>
        <item x="298"/>
        <item x="112"/>
        <item x="290"/>
        <item x="140"/>
        <item x="234"/>
        <item x="32"/>
        <item x="192"/>
        <item x="243"/>
        <item x="123"/>
        <item x="233"/>
        <item x="289"/>
        <item x="254"/>
        <item x="211"/>
        <item x="158"/>
        <item x="175"/>
        <item x="282"/>
        <item x="106"/>
        <item x="252"/>
        <item x="207"/>
        <item x="150"/>
        <item x="204"/>
        <item x="39"/>
        <item x="129"/>
        <item x="85"/>
        <item x="287"/>
        <item x="142"/>
        <item x="223"/>
        <item x="213"/>
        <item x="277"/>
        <item x="299"/>
        <item x="224"/>
        <item x="37"/>
        <item x="171"/>
        <item x="94"/>
        <item x="293"/>
        <item x="304"/>
        <item x="111"/>
        <item x="247"/>
        <item x="183"/>
        <item x="31"/>
        <item x="292"/>
        <item x="118"/>
        <item x="131"/>
        <item x="244"/>
        <item x="205"/>
        <item x="40"/>
        <item x="272"/>
        <item x="240"/>
        <item x="170"/>
        <item x="163"/>
        <item x="179"/>
        <item x="157"/>
        <item x="30"/>
        <item x="59"/>
        <item x="215"/>
        <item x="29"/>
        <item x="28"/>
        <item x="221"/>
        <item x="222"/>
        <item x="128"/>
        <item x="274"/>
        <item x="212"/>
        <item x="303"/>
        <item x="174"/>
        <item x="250"/>
        <item x="278"/>
        <item x="285"/>
        <item x="263"/>
        <item x="196"/>
        <item x="34"/>
        <item x="302"/>
        <item x="238"/>
        <item x="16"/>
        <item x="295"/>
        <item x="139"/>
        <item x="84"/>
        <item x="273"/>
        <item x="249"/>
        <item x="218"/>
        <item x="267"/>
        <item x="284"/>
        <item x="256"/>
        <item x="255"/>
        <item x="266"/>
        <item x="227"/>
        <item x="276"/>
        <item x="219"/>
        <item x="242"/>
        <item x="18"/>
        <item x="181"/>
        <item x="15"/>
        <item x="14"/>
        <item x="33"/>
        <item x="241"/>
        <item x="301"/>
        <item x="35"/>
        <item x="216"/>
        <item x="9"/>
        <item x="27"/>
        <item x="300"/>
        <item x="36"/>
        <item x="214"/>
        <item x="17"/>
        <item x="209"/>
        <item x="5"/>
        <item x="203"/>
        <item x="210"/>
        <item x="10"/>
        <item x="202"/>
        <item x="26"/>
        <item x="11"/>
        <item x="12"/>
        <item x="24"/>
        <item x="25"/>
        <item x="13"/>
        <item x="21"/>
        <item x="22"/>
        <item x="8"/>
        <item x="23"/>
        <item x="7"/>
        <item x="4"/>
        <item x="3"/>
        <item x="6"/>
        <item x="1"/>
        <item x="20"/>
        <item x="2"/>
        <item x="0"/>
      </items>
    </pivotField>
    <pivotField dataField="1" showAll="0" defaultSubtotal="0">
      <items count="740">
        <item x="55"/>
        <item x="447"/>
        <item x="19"/>
        <item x="593"/>
        <item x="626"/>
        <item x="423"/>
        <item x="70"/>
        <item x="159"/>
        <item x="352"/>
        <item x="101"/>
        <item x="86"/>
        <item x="226"/>
        <item x="322"/>
        <item x="240"/>
        <item x="160"/>
        <item x="488"/>
        <item x="649"/>
        <item x="468"/>
        <item x="528"/>
        <item x="183"/>
        <item x="117"/>
        <item x="343"/>
        <item x="85"/>
        <item x="98"/>
        <item x="266"/>
        <item x="465"/>
        <item x="351"/>
        <item x="299"/>
        <item x="583"/>
        <item x="355"/>
        <item x="690"/>
        <item x="38"/>
        <item x="158"/>
        <item x="145"/>
        <item x="102"/>
        <item x="303"/>
        <item x="132"/>
        <item x="16"/>
        <item x="364"/>
        <item x="547"/>
        <item x="73"/>
        <item x="254"/>
        <item x="51"/>
        <item x="227"/>
        <item x="32"/>
        <item x="340"/>
        <item x="290"/>
        <item x="255"/>
        <item x="243"/>
        <item x="67"/>
        <item x="87"/>
        <item x="520"/>
        <item x="425"/>
        <item x="39"/>
        <item x="18"/>
        <item x="324"/>
        <item x="37"/>
        <item x="99"/>
        <item x="49"/>
        <item x="68"/>
        <item x="300"/>
        <item x="31"/>
        <item x="180"/>
        <item x="15"/>
        <item x="14"/>
        <item x="265"/>
        <item x="238"/>
        <item x="53"/>
        <item x="69"/>
        <item x="93"/>
        <item x="342"/>
        <item x="146"/>
        <item x="30"/>
        <item x="487"/>
        <item x="412"/>
        <item x="92"/>
        <item x="224"/>
        <item x="29"/>
        <item x="198"/>
        <item x="28"/>
        <item x="252"/>
        <item x="381"/>
        <item x="45"/>
        <item x="219"/>
        <item x="279"/>
        <item x="147"/>
        <item x="131"/>
        <item x="114"/>
        <item x="708"/>
        <item x="287"/>
        <item x="34"/>
        <item x="208"/>
        <item x="251"/>
        <item x="242"/>
        <item x="118"/>
        <item x="125"/>
        <item x="455"/>
        <item x="263"/>
        <item x="424"/>
        <item x="370"/>
        <item x="194"/>
        <item x="64"/>
        <item x="274"/>
        <item x="253"/>
        <item x="225"/>
        <item x="94"/>
        <item x="195"/>
        <item x="627"/>
        <item x="9"/>
        <item x="169"/>
        <item x="479"/>
        <item x="48"/>
        <item x="221"/>
        <item x="199"/>
        <item x="139"/>
        <item x="155"/>
        <item x="126"/>
        <item x="536"/>
        <item x="54"/>
        <item x="477"/>
        <item x="228"/>
        <item x="496"/>
        <item x="371"/>
        <item x="430"/>
        <item x="127"/>
        <item x="314"/>
        <item x="112"/>
        <item x="79"/>
        <item x="457"/>
        <item x="182"/>
        <item x="616"/>
        <item x="17"/>
        <item x="401"/>
        <item x="333"/>
        <item x="308"/>
        <item x="5"/>
        <item x="176"/>
        <item x="416"/>
        <item x="546"/>
        <item x="519"/>
        <item x="211"/>
        <item x="153"/>
        <item x="174"/>
        <item x="10"/>
        <item x="475"/>
        <item x="311"/>
        <item x="602"/>
        <item x="212"/>
        <item x="52"/>
        <item x="144"/>
        <item x="535"/>
        <item x="116"/>
        <item x="320"/>
        <item x="184"/>
        <item x="241"/>
        <item x="166"/>
        <item x="273"/>
        <item x="503"/>
        <item x="390"/>
        <item x="323"/>
        <item x="277"/>
        <item x="262"/>
        <item x="33"/>
        <item x="181"/>
        <item x="80"/>
        <item x="597"/>
        <item x="537"/>
        <item x="57"/>
        <item x="301"/>
        <item x="507"/>
        <item x="207"/>
        <item x="133"/>
        <item x="405"/>
        <item x="156"/>
        <item x="341"/>
        <item x="72"/>
        <item x="689"/>
        <item x="440"/>
        <item x="272"/>
        <item x="527"/>
        <item x="56"/>
        <item x="482"/>
        <item x="298"/>
        <item x="222"/>
        <item x="35"/>
        <item x="436"/>
        <item x="110"/>
        <item x="141"/>
        <item x="237"/>
        <item x="375"/>
        <item x="60"/>
        <item x="197"/>
        <item x="617"/>
        <item x="676"/>
        <item x="648"/>
        <item x="504"/>
        <item x="657"/>
        <item x="196"/>
        <item x="509"/>
        <item x="422"/>
        <item x="278"/>
        <item x="50"/>
        <item x="599"/>
        <item x="11"/>
        <item x="363"/>
        <item x="71"/>
        <item x="439"/>
        <item x="289"/>
        <item x="239"/>
        <item x="331"/>
        <item x="84"/>
        <item x="499"/>
        <item x="288"/>
        <item x="313"/>
        <item x="354"/>
        <item x="510"/>
        <item x="210"/>
        <item x="233"/>
        <item x="400"/>
        <item x="206"/>
        <item x="438"/>
        <item x="466"/>
        <item x="130"/>
        <item x="334"/>
        <item x="582"/>
        <item x="467"/>
        <item x="454"/>
        <item x="12"/>
        <item x="115"/>
        <item x="391"/>
        <item x="353"/>
        <item x="264"/>
        <item x="347"/>
        <item x="346"/>
        <item x="338"/>
        <item x="658"/>
        <item x="223"/>
        <item x="592"/>
        <item x="411"/>
        <item x="189"/>
        <item x="518"/>
        <item x="13"/>
        <item x="717"/>
        <item x="100"/>
        <item x="149"/>
        <item x="619"/>
        <item x="395"/>
        <item x="27"/>
        <item x="389"/>
        <item x="191"/>
        <item x="142"/>
        <item x="402"/>
        <item x="235"/>
        <item x="695"/>
        <item x="647"/>
        <item x="508"/>
        <item x="623"/>
        <item x="36"/>
        <item x="220"/>
        <item x="478"/>
        <item x="427"/>
        <item x="494"/>
        <item x="680"/>
        <item x="654"/>
        <item x="209"/>
        <item x="408"/>
        <item x="83"/>
        <item x="540"/>
        <item x="349"/>
        <item x="573"/>
        <item x="671"/>
        <item x="90"/>
        <item x="168"/>
        <item x="569"/>
        <item x="506"/>
        <item x="332"/>
        <item x="498"/>
        <item x="154"/>
        <item x="456"/>
        <item x="178"/>
        <item x="675"/>
        <item x="700"/>
        <item x="302"/>
        <item x="124"/>
        <item x="446"/>
        <item x="581"/>
        <item x="321"/>
        <item x="625"/>
        <item x="554"/>
        <item x="694"/>
        <item x="419"/>
        <item x="429"/>
        <item x="600"/>
        <item x="113"/>
        <item x="362"/>
        <item x="170"/>
        <item x="635"/>
        <item x="236"/>
        <item x="104"/>
        <item x="574"/>
        <item x="735"/>
        <item x="47"/>
        <item x="437"/>
        <item x="650"/>
        <item x="614"/>
        <item x="179"/>
        <item x="545"/>
        <item x="718"/>
        <item x="633"/>
        <item x="707"/>
        <item x="497"/>
        <item x="380"/>
        <item x="129"/>
        <item x="420"/>
        <item x="486"/>
        <item x="725"/>
        <item x="543"/>
        <item x="276"/>
        <item x="603"/>
        <item x="615"/>
        <item x="580"/>
        <item x="610"/>
        <item x="568"/>
        <item x="143"/>
        <item x="275"/>
        <item x="65"/>
        <item x="476"/>
        <item x="46"/>
        <item x="590"/>
        <item x="66"/>
        <item x="719"/>
        <item x="348"/>
        <item x="628"/>
        <item x="673"/>
        <item x="409"/>
        <item x="517"/>
        <item x="8"/>
        <item x="526"/>
        <item x="379"/>
        <item x="312"/>
        <item x="453"/>
        <item x="82"/>
        <item x="250"/>
        <item x="674"/>
        <item x="712"/>
        <item x="157"/>
        <item x="286"/>
        <item x="339"/>
        <item x="561"/>
        <item x="96"/>
        <item x="544"/>
        <item x="410"/>
        <item x="337"/>
        <item x="97"/>
        <item x="534"/>
        <item x="662"/>
        <item x="369"/>
        <item x="377"/>
        <item x="632"/>
        <item x="150"/>
        <item x="706"/>
        <item x="495"/>
        <item x="128"/>
        <item x="553"/>
        <item x="397"/>
        <item x="140"/>
        <item x="357"/>
        <item x="421"/>
        <item x="492"/>
        <item x="325"/>
        <item x="624"/>
        <item x="205"/>
        <item x="360"/>
        <item x="591"/>
        <item x="698"/>
        <item x="361"/>
        <item x="394"/>
        <item x="163"/>
        <item x="417"/>
        <item x="474"/>
        <item x="533"/>
        <item x="374"/>
        <item x="297"/>
        <item x="81"/>
        <item x="111"/>
        <item x="234"/>
        <item x="663"/>
        <item x="103"/>
        <item x="524"/>
        <item x="631"/>
        <item x="177"/>
        <item x="151"/>
        <item x="26"/>
        <item x="388"/>
        <item x="249"/>
        <item x="579"/>
        <item x="668"/>
        <item x="7"/>
        <item x="655"/>
        <item x="399"/>
        <item x="44"/>
        <item x="285"/>
        <item x="656"/>
        <item x="165"/>
        <item x="640"/>
        <item x="588"/>
        <item x="368"/>
        <item x="63"/>
        <item x="473"/>
        <item x="664"/>
        <item x="516"/>
        <item x="261"/>
        <item x="726"/>
        <item x="418"/>
        <item x="441"/>
        <item x="462"/>
        <item x="513"/>
        <item x="559"/>
        <item x="646"/>
        <item x="532"/>
        <item x="699"/>
        <item x="452"/>
        <item x="552"/>
        <item x="724"/>
        <item x="398"/>
        <item x="601"/>
        <item x="387"/>
        <item x="733"/>
        <item x="193"/>
        <item x="445"/>
        <item x="505"/>
        <item x="578"/>
        <item x="4"/>
        <item x="653"/>
        <item x="622"/>
        <item x="295"/>
        <item x="310"/>
        <item x="645"/>
        <item x="186"/>
        <item x="634"/>
        <item x="463"/>
        <item x="483"/>
        <item x="24"/>
        <item x="407"/>
        <item x="558"/>
        <item x="167"/>
        <item x="25"/>
        <item x="560"/>
        <item x="3"/>
        <item x="609"/>
        <item x="589"/>
        <item x="434"/>
        <item x="106"/>
        <item x="247"/>
        <item x="435"/>
        <item x="120"/>
        <item x="567"/>
        <item x="621"/>
        <item x="587"/>
        <item x="162"/>
        <item x="188"/>
        <item x="309"/>
        <item x="485"/>
        <item x="386"/>
        <item x="330"/>
        <item x="716"/>
        <item x="638"/>
        <item x="328"/>
        <item x="542"/>
        <item x="6"/>
        <item x="376"/>
        <item x="681"/>
        <item x="108"/>
        <item x="307"/>
        <item x="62"/>
        <item x="688"/>
        <item x="551"/>
        <item x="598"/>
        <item x="464"/>
        <item x="270"/>
        <item x="190"/>
        <item x="378"/>
        <item x="203"/>
        <item x="231"/>
        <item x="91"/>
        <item x="78"/>
        <item x="316"/>
        <item x="271"/>
        <item x="493"/>
        <item x="201"/>
        <item x="472"/>
        <item x="192"/>
        <item x="396"/>
        <item x="350"/>
        <item x="460"/>
        <item x="296"/>
        <item x="541"/>
        <item x="204"/>
        <item x="736"/>
        <item x="1"/>
        <item x="260"/>
        <item x="433"/>
        <item x="122"/>
        <item x="152"/>
        <item x="383"/>
        <item x="608"/>
        <item x="584"/>
        <item x="43"/>
        <item x="701"/>
        <item x="515"/>
        <item x="367"/>
        <item x="556"/>
        <item x="21"/>
        <item x="137"/>
        <item x="292"/>
        <item x="232"/>
        <item x="109"/>
        <item x="329"/>
        <item x="566"/>
        <item x="175"/>
        <item x="217"/>
        <item x="641"/>
        <item x="530"/>
        <item x="359"/>
        <item x="267"/>
        <item x="502"/>
        <item x="730"/>
        <item x="123"/>
        <item x="138"/>
        <item x="451"/>
        <item x="218"/>
        <item x="607"/>
        <item x="284"/>
        <item x="682"/>
        <item x="565"/>
        <item x="685"/>
        <item x="283"/>
        <item x="639"/>
        <item x="134"/>
        <item x="525"/>
        <item x="686"/>
        <item x="216"/>
        <item x="59"/>
        <item x="444"/>
        <item x="604"/>
        <item x="702"/>
        <item x="484"/>
        <item x="318"/>
        <item x="723"/>
        <item x="734"/>
        <item x="406"/>
        <item x="709"/>
        <item x="514"/>
        <item x="677"/>
        <item x="77"/>
        <item x="672"/>
        <item x="449"/>
        <item x="570"/>
        <item x="683"/>
        <item x="187"/>
        <item x="202"/>
        <item x="385"/>
        <item x="738"/>
        <item x="428"/>
        <item x="705"/>
        <item x="95"/>
        <item x="248"/>
        <item x="594"/>
        <item x="562"/>
        <item x="293"/>
        <item x="713"/>
        <item x="415"/>
        <item x="611"/>
        <item x="75"/>
        <item x="659"/>
        <item x="259"/>
        <item x="731"/>
        <item x="22"/>
        <item x="461"/>
        <item x="704"/>
        <item x="23"/>
        <item x="471"/>
        <item x="727"/>
        <item x="319"/>
        <item x="670"/>
        <item x="41"/>
        <item x="697"/>
        <item x="739"/>
        <item x="244"/>
        <item x="327"/>
        <item x="642"/>
        <item x="214"/>
        <item x="61"/>
        <item x="703"/>
        <item x="42"/>
        <item x="294"/>
        <item x="531"/>
        <item x="720"/>
        <item x="652"/>
        <item x="256"/>
        <item x="550"/>
        <item x="687"/>
        <item x="729"/>
        <item x="489"/>
        <item x="107"/>
        <item x="269"/>
        <item x="715"/>
        <item x="491"/>
        <item x="215"/>
        <item x="121"/>
        <item x="613"/>
        <item x="282"/>
        <item x="692"/>
        <item x="644"/>
        <item x="549"/>
        <item x="76"/>
        <item x="164"/>
        <item x="281"/>
        <item x="711"/>
        <item x="404"/>
        <item x="403"/>
        <item x="246"/>
        <item x="661"/>
        <item x="2"/>
        <item x="577"/>
        <item x="539"/>
        <item x="572"/>
        <item x="366"/>
        <item x="564"/>
        <item x="612"/>
        <item x="693"/>
        <item x="230"/>
        <item x="432"/>
        <item x="714"/>
        <item x="737"/>
        <item x="586"/>
        <item x="630"/>
        <item x="606"/>
        <item x="660"/>
        <item x="521"/>
        <item x="304"/>
        <item x="317"/>
        <item x="89"/>
        <item x="490"/>
        <item x="501"/>
        <item x="585"/>
        <item x="450"/>
        <item x="679"/>
        <item x="605"/>
        <item x="620"/>
        <item x="667"/>
        <item x="684"/>
        <item x="469"/>
        <item x="305"/>
        <item x="563"/>
        <item x="306"/>
        <item x="171"/>
        <item x="173"/>
        <item x="696"/>
        <item x="669"/>
        <item x="200"/>
        <item x="258"/>
        <item x="678"/>
        <item x="136"/>
        <item x="373"/>
        <item x="443"/>
        <item x="358"/>
        <item x="529"/>
        <item x="728"/>
        <item x="722"/>
        <item x="596"/>
        <item x="523"/>
        <item x="459"/>
        <item x="384"/>
        <item x="651"/>
        <item x="571"/>
        <item x="595"/>
        <item x="636"/>
        <item x="372"/>
        <item x="721"/>
        <item x="576"/>
        <item x="538"/>
        <item x="666"/>
        <item x="710"/>
        <item x="637"/>
        <item x="557"/>
        <item x="326"/>
        <item x="393"/>
        <item x="512"/>
        <item x="431"/>
        <item x="629"/>
        <item x="315"/>
        <item x="575"/>
        <item x="392"/>
        <item x="548"/>
        <item x="691"/>
        <item x="732"/>
        <item x="413"/>
        <item x="257"/>
        <item x="185"/>
        <item x="229"/>
        <item x="213"/>
        <item x="414"/>
        <item x="356"/>
        <item x="511"/>
        <item x="481"/>
        <item x="480"/>
        <item x="458"/>
        <item x="522"/>
        <item x="268"/>
        <item x="470"/>
        <item x="0"/>
        <item x="500"/>
        <item x="643"/>
        <item x="280"/>
        <item x="135"/>
        <item x="665"/>
        <item x="442"/>
        <item x="161"/>
        <item x="245"/>
        <item x="382"/>
        <item x="172"/>
        <item x="555"/>
        <item x="105"/>
        <item x="426"/>
        <item x="20"/>
        <item x="448"/>
        <item x="119"/>
        <item x="40"/>
        <item x="88"/>
        <item x="74"/>
        <item x="291"/>
        <item x="365"/>
        <item x="344"/>
        <item x="148"/>
        <item x="618"/>
        <item x="336"/>
        <item x="345"/>
        <item x="58"/>
        <item x="335"/>
      </items>
    </pivotField>
    <pivotField dataField="1" showAll="0" defaultSubtotal="0">
      <items count="283">
        <item x="230"/>
        <item x="227"/>
        <item x="229"/>
        <item x="228"/>
        <item x="272"/>
        <item x="83"/>
        <item x="114"/>
        <item x="85"/>
        <item x="81"/>
        <item x="80"/>
        <item x="84"/>
        <item x="226"/>
        <item x="87"/>
        <item x="64"/>
        <item x="77"/>
        <item x="142"/>
        <item x="86"/>
        <item x="56"/>
        <item x="44"/>
        <item x="55"/>
        <item x="73"/>
        <item x="74"/>
        <item x="82"/>
        <item x="75"/>
        <item x="115"/>
        <item x="78"/>
        <item x="105"/>
        <item x="109"/>
        <item x="67"/>
        <item x="57"/>
        <item x="139"/>
        <item x="54"/>
        <item x="129"/>
        <item x="66"/>
        <item x="71"/>
        <item x="48"/>
        <item x="61"/>
        <item x="51"/>
        <item x="103"/>
        <item x="53"/>
        <item x="45"/>
        <item x="79"/>
        <item x="70"/>
        <item x="47"/>
        <item x="72"/>
        <item x="135"/>
        <item x="137"/>
        <item x="52"/>
        <item x="123"/>
        <item x="113"/>
        <item x="69"/>
        <item x="136"/>
        <item x="76"/>
        <item x="68"/>
        <item x="94"/>
        <item x="63"/>
        <item x="43"/>
        <item x="120"/>
        <item x="42"/>
        <item x="122"/>
        <item x="146"/>
        <item x="49"/>
        <item x="112"/>
        <item x="111"/>
        <item x="62"/>
        <item x="157"/>
        <item x="50"/>
        <item x="107"/>
        <item x="40"/>
        <item x="128"/>
        <item x="134"/>
        <item x="170"/>
        <item x="58"/>
        <item x="168"/>
        <item x="65"/>
        <item x="108"/>
        <item x="152"/>
        <item x="169"/>
        <item x="148"/>
        <item x="145"/>
        <item x="147"/>
        <item x="225"/>
        <item x="110"/>
        <item x="185"/>
        <item x="118"/>
        <item x="141"/>
        <item x="104"/>
        <item x="46"/>
        <item x="121"/>
        <item x="270"/>
        <item x="88"/>
        <item x="254"/>
        <item x="247"/>
        <item x="117"/>
        <item x="106"/>
        <item x="125"/>
        <item x="150"/>
        <item x="155"/>
        <item x="214"/>
        <item x="253"/>
        <item x="158"/>
        <item x="140"/>
        <item x="280"/>
        <item x="102"/>
        <item x="96"/>
        <item x="162"/>
        <item x="119"/>
        <item x="101"/>
        <item x="233"/>
        <item x="133"/>
        <item x="246"/>
        <item x="224"/>
        <item x="154"/>
        <item x="266"/>
        <item x="223"/>
        <item x="243"/>
        <item x="127"/>
        <item x="126"/>
        <item x="132"/>
        <item x="256"/>
        <item x="131"/>
        <item x="221"/>
        <item x="235"/>
        <item x="217"/>
        <item x="175"/>
        <item x="100"/>
        <item x="190"/>
        <item x="248"/>
        <item x="174"/>
        <item x="95"/>
        <item x="173"/>
        <item x="242"/>
        <item x="166"/>
        <item x="209"/>
        <item x="99"/>
        <item x="98"/>
        <item x="144"/>
        <item x="241"/>
        <item x="167"/>
        <item x="60"/>
        <item x="239"/>
        <item x="257"/>
        <item x="282"/>
        <item x="91"/>
        <item x="165"/>
        <item x="251"/>
        <item x="236"/>
        <item x="156"/>
        <item x="193"/>
        <item x="267"/>
        <item x="97"/>
        <item x="181"/>
        <item x="252"/>
        <item x="160"/>
        <item x="59"/>
        <item x="218"/>
        <item x="172"/>
        <item x="164"/>
        <item x="201"/>
        <item x="240"/>
        <item x="211"/>
        <item x="250"/>
        <item x="163"/>
        <item x="138"/>
        <item x="192"/>
        <item x="244"/>
        <item x="281"/>
        <item x="269"/>
        <item x="268"/>
        <item x="265"/>
        <item x="191"/>
        <item x="238"/>
        <item x="93"/>
        <item x="278"/>
        <item x="262"/>
        <item x="258"/>
        <item x="92"/>
        <item x="207"/>
        <item x="249"/>
        <item x="189"/>
        <item x="222"/>
        <item x="220"/>
        <item x="188"/>
        <item x="208"/>
        <item x="41"/>
        <item x="231"/>
        <item x="237"/>
        <item x="219"/>
        <item x="143"/>
        <item x="153"/>
        <item x="187"/>
        <item x="232"/>
        <item x="279"/>
        <item x="89"/>
        <item x="124"/>
        <item x="260"/>
        <item x="130"/>
        <item x="116"/>
        <item x="151"/>
        <item x="186"/>
        <item x="182"/>
        <item x="206"/>
        <item x="149"/>
        <item x="213"/>
        <item x="264"/>
        <item x="205"/>
        <item x="271"/>
        <item x="275"/>
        <item x="179"/>
        <item x="259"/>
        <item x="184"/>
        <item x="183"/>
        <item x="161"/>
        <item x="204"/>
        <item x="203"/>
        <item x="159"/>
        <item x="277"/>
        <item x="276"/>
        <item x="171"/>
        <item x="255"/>
        <item x="180"/>
        <item x="195"/>
        <item x="198"/>
        <item x="90"/>
        <item x="215"/>
        <item x="263"/>
        <item x="199"/>
        <item x="216"/>
        <item x="202"/>
        <item x="25"/>
        <item x="261"/>
        <item x="200"/>
        <item x="176"/>
        <item x="274"/>
        <item x="212"/>
        <item x="177"/>
        <item x="197"/>
        <item x="245"/>
        <item x="36"/>
        <item x="178"/>
        <item x="194"/>
        <item x="234"/>
        <item x="26"/>
        <item x="210"/>
        <item x="23"/>
        <item x="273"/>
        <item x="196"/>
        <item x="35"/>
        <item x="6"/>
        <item x="39"/>
        <item x="33"/>
        <item x="38"/>
        <item x="27"/>
        <item x="37"/>
        <item x="34"/>
        <item x="13"/>
        <item x="20"/>
        <item x="8"/>
        <item x="7"/>
        <item x="30"/>
        <item x="31"/>
        <item x="29"/>
        <item x="32"/>
        <item x="24"/>
        <item x="28"/>
        <item x="17"/>
        <item x="2"/>
        <item x="12"/>
        <item x="22"/>
        <item x="19"/>
        <item x="18"/>
        <item x="0"/>
        <item x="11"/>
        <item x="15"/>
        <item x="16"/>
        <item x="14"/>
        <item x="4"/>
        <item x="3"/>
        <item x="10"/>
        <item x="9"/>
        <item x="21"/>
        <item x="5"/>
        <item x="1"/>
      </items>
    </pivotField>
    <pivotField dataField="1" showAll="0" defaultSubtotal="0">
      <items count="621">
        <item x="400"/>
        <item x="371"/>
        <item x="399"/>
        <item x="488"/>
        <item x="600"/>
        <item x="453"/>
        <item x="383"/>
        <item x="562"/>
        <item x="574"/>
        <item x="560"/>
        <item x="374"/>
        <item x="417"/>
        <item x="544"/>
        <item x="172"/>
        <item x="102"/>
        <item x="570"/>
        <item x="377"/>
        <item x="583"/>
        <item x="505"/>
        <item x="421"/>
        <item x="487"/>
        <item x="132"/>
        <item x="345"/>
        <item x="373"/>
        <item x="513"/>
        <item x="82"/>
        <item x="567"/>
        <item x="525"/>
        <item x="415"/>
        <item x="161"/>
        <item x="481"/>
        <item x="280"/>
        <item x="396"/>
        <item x="305"/>
        <item x="119"/>
        <item x="238"/>
        <item x="60"/>
        <item x="257"/>
        <item x="226"/>
        <item x="323"/>
        <item x="266"/>
        <item x="104"/>
        <item x="414"/>
        <item x="479"/>
        <item x="136"/>
        <item x="490"/>
        <item x="536"/>
        <item x="24"/>
        <item x="613"/>
        <item x="407"/>
        <item x="222"/>
        <item x="527"/>
        <item x="84"/>
        <item x="537"/>
        <item x="176"/>
        <item x="195"/>
        <item x="6"/>
        <item x="577"/>
        <item x="272"/>
        <item x="162"/>
        <item x="233"/>
        <item x="114"/>
        <item x="54"/>
        <item x="580"/>
        <item x="363"/>
        <item x="202"/>
        <item x="80"/>
        <item x="506"/>
        <item x="163"/>
        <item x="42"/>
        <item x="118"/>
        <item x="183"/>
        <item x="143"/>
        <item x="368"/>
        <item x="53"/>
        <item x="273"/>
        <item x="492"/>
        <item x="193"/>
        <item x="95"/>
        <item x="69"/>
        <item x="79"/>
        <item x="304"/>
        <item x="178"/>
        <item x="151"/>
        <item x="480"/>
        <item x="347"/>
        <item x="70"/>
        <item x="187"/>
        <item x="166"/>
        <item x="35"/>
        <item x="287"/>
        <item x="478"/>
        <item x="159"/>
        <item x="83"/>
        <item x="461"/>
        <item x="116"/>
        <item x="250"/>
        <item x="465"/>
        <item x="156"/>
        <item x="259"/>
        <item x="563"/>
        <item x="418"/>
        <item x="248"/>
        <item x="13"/>
        <item x="308"/>
        <item x="389"/>
        <item x="261"/>
        <item x="8"/>
        <item x="354"/>
        <item x="267"/>
        <item x="402"/>
        <item x="25"/>
        <item x="341"/>
        <item x="108"/>
        <item x="446"/>
        <item x="7"/>
        <item x="378"/>
        <item x="403"/>
        <item x="205"/>
        <item x="466"/>
        <item x="210"/>
        <item x="230"/>
        <item x="87"/>
        <item x="120"/>
        <item x="150"/>
        <item x="174"/>
        <item x="125"/>
        <item x="298"/>
        <item x="237"/>
        <item x="361"/>
        <item x="63"/>
        <item x="196"/>
        <item x="111"/>
        <item x="293"/>
        <item x="240"/>
        <item x="473"/>
        <item x="75"/>
        <item x="228"/>
        <item x="406"/>
        <item x="22"/>
        <item x="149"/>
        <item x="522"/>
        <item x="258"/>
        <item x="328"/>
        <item x="278"/>
        <item x="146"/>
        <item x="181"/>
        <item x="123"/>
        <item x="493"/>
        <item x="264"/>
        <item x="423"/>
        <item x="74"/>
        <item x="198"/>
        <item x="52"/>
        <item x="249"/>
        <item x="17"/>
        <item x="105"/>
        <item x="398"/>
        <item x="332"/>
        <item x="424"/>
        <item x="122"/>
        <item x="2"/>
        <item x="307"/>
        <item x="62"/>
        <item x="207"/>
        <item x="34"/>
        <item x="88"/>
        <item x="348"/>
        <item x="12"/>
        <item x="393"/>
        <item x="66"/>
        <item x="227"/>
        <item x="263"/>
        <item x="355"/>
        <item x="476"/>
        <item x="212"/>
        <item x="71"/>
        <item x="434"/>
        <item x="179"/>
        <item x="300"/>
        <item x="46"/>
        <item x="86"/>
        <item x="335"/>
        <item x="38"/>
        <item x="19"/>
        <item x="440"/>
        <item x="177"/>
        <item x="252"/>
        <item x="186"/>
        <item x="106"/>
        <item x="454"/>
        <item x="430"/>
        <item x="322"/>
        <item x="49"/>
        <item x="313"/>
        <item x="18"/>
        <item x="32"/>
        <item x="0"/>
        <item x="103"/>
        <item x="276"/>
        <item x="97"/>
        <item x="134"/>
        <item x="482"/>
        <item x="67"/>
        <item x="397"/>
        <item x="148"/>
        <item x="191"/>
        <item x="51"/>
        <item x="101"/>
        <item x="291"/>
        <item x="315"/>
        <item x="138"/>
        <item x="190"/>
        <item x="213"/>
        <item x="43"/>
        <item x="206"/>
        <item x="392"/>
        <item x="531"/>
        <item x="194"/>
        <item x="599"/>
        <item x="346"/>
        <item x="504"/>
        <item x="37"/>
        <item x="372"/>
        <item x="334"/>
        <item x="274"/>
        <item x="242"/>
        <item x="221"/>
        <item x="343"/>
        <item x="333"/>
        <item x="26"/>
        <item x="429"/>
        <item x="133"/>
        <item x="45"/>
        <item x="215"/>
        <item x="68"/>
        <item x="11"/>
        <item x="158"/>
        <item x="231"/>
        <item x="85"/>
        <item x="15"/>
        <item x="36"/>
        <item x="135"/>
        <item x="286"/>
        <item x="232"/>
        <item x="244"/>
        <item x="192"/>
        <item x="510"/>
        <item x="141"/>
        <item x="370"/>
        <item x="155"/>
        <item x="262"/>
        <item x="467"/>
        <item x="121"/>
        <item x="314"/>
        <item x="33"/>
        <item x="16"/>
        <item x="438"/>
        <item x="431"/>
        <item x="50"/>
        <item x="211"/>
        <item x="455"/>
        <item x="519"/>
        <item x="147"/>
        <item x="239"/>
        <item x="573"/>
        <item x="175"/>
        <item x="275"/>
        <item x="81"/>
        <item x="318"/>
        <item x="14"/>
        <item x="96"/>
        <item x="499"/>
        <item x="65"/>
        <item x="362"/>
        <item x="216"/>
        <item x="427"/>
        <item x="543"/>
        <item x="160"/>
        <item x="359"/>
        <item x="4"/>
        <item x="72"/>
        <item x="517"/>
        <item x="369"/>
        <item x="306"/>
        <item x="100"/>
        <item x="416"/>
        <item x="388"/>
        <item x="554"/>
        <item x="99"/>
        <item x="64"/>
        <item x="126"/>
        <item x="173"/>
        <item x="329"/>
        <item x="297"/>
        <item x="344"/>
        <item x="375"/>
        <item x="296"/>
        <item x="59"/>
        <item x="443"/>
        <item x="268"/>
        <item x="29"/>
        <item x="564"/>
        <item x="76"/>
        <item x="91"/>
        <item x="30"/>
        <item x="285"/>
        <item x="260"/>
        <item x="28"/>
        <item x="469"/>
        <item x="41"/>
        <item x="217"/>
        <item x="535"/>
        <item x="189"/>
        <item x="31"/>
        <item x="518"/>
        <item x="115"/>
        <item x="295"/>
        <item x="549"/>
        <item x="3"/>
        <item x="23"/>
        <item x="170"/>
        <item x="27"/>
        <item x="542"/>
        <item x="117"/>
        <item x="199"/>
        <item x="460"/>
        <item x="98"/>
        <item x="351"/>
        <item x="245"/>
        <item x="302"/>
        <item x="408"/>
        <item x="581"/>
        <item x="586"/>
        <item x="218"/>
        <item x="171"/>
        <item x="360"/>
        <item x="204"/>
        <item x="524"/>
        <item x="47"/>
        <item x="10"/>
        <item x="110"/>
        <item x="428"/>
        <item x="188"/>
        <item x="289"/>
        <item x="382"/>
        <item x="610"/>
        <item x="203"/>
        <item x="58"/>
        <item x="311"/>
        <item x="327"/>
        <item x="337"/>
        <item x="284"/>
        <item x="331"/>
        <item x="330"/>
        <item x="214"/>
        <item x="312"/>
        <item x="294"/>
        <item x="220"/>
        <item x="48"/>
        <item x="552"/>
        <item x="516"/>
        <item x="247"/>
        <item x="436"/>
        <item x="39"/>
        <item x="9"/>
        <item x="131"/>
        <item x="256"/>
        <item x="140"/>
        <item x="281"/>
        <item x="426"/>
        <item x="339"/>
        <item x="292"/>
        <item x="523"/>
        <item x="472"/>
        <item x="602"/>
        <item x="55"/>
        <item x="144"/>
        <item x="21"/>
        <item x="568"/>
        <item x="145"/>
        <item x="236"/>
        <item x="587"/>
        <item x="61"/>
        <item x="558"/>
        <item x="342"/>
        <item x="614"/>
        <item x="357"/>
        <item x="94"/>
        <item x="553"/>
        <item x="157"/>
        <item x="235"/>
        <item x="139"/>
        <item x="451"/>
        <item x="590"/>
        <item x="582"/>
        <item x="169"/>
        <item x="464"/>
        <item x="445"/>
        <item x="130"/>
        <item x="449"/>
        <item x="608"/>
        <item x="340"/>
        <item x="234"/>
        <item x="246"/>
        <item x="270"/>
        <item x="321"/>
        <item x="556"/>
        <item x="282"/>
        <item x="452"/>
        <item x="93"/>
        <item x="405"/>
        <item x="255"/>
        <item x="468"/>
        <item x="225"/>
        <item x="153"/>
        <item x="597"/>
        <item x="320"/>
        <item x="381"/>
        <item x="484"/>
        <item x="394"/>
        <item x="254"/>
        <item x="425"/>
        <item x="319"/>
        <item x="387"/>
        <item x="585"/>
        <item x="358"/>
        <item x="530"/>
        <item x="310"/>
        <item x="486"/>
        <item x="142"/>
        <item x="92"/>
        <item x="435"/>
        <item x="439"/>
        <item x="127"/>
        <item x="154"/>
        <item x="279"/>
        <item x="44"/>
        <item x="512"/>
        <item x="201"/>
        <item x="271"/>
        <item x="529"/>
        <item x="352"/>
        <item x="5"/>
        <item x="540"/>
        <item x="477"/>
        <item x="283"/>
        <item x="413"/>
        <item x="444"/>
        <item x="459"/>
        <item x="109"/>
        <item x="604"/>
        <item x="243"/>
        <item x="113"/>
        <item x="495"/>
        <item x="353"/>
        <item x="303"/>
        <item x="223"/>
        <item x="588"/>
        <item x="78"/>
        <item x="185"/>
        <item x="509"/>
        <item x="129"/>
        <item x="559"/>
        <item x="89"/>
        <item x="534"/>
        <item x="167"/>
        <item x="541"/>
        <item x="128"/>
        <item x="412"/>
        <item x="442"/>
        <item x="224"/>
        <item x="503"/>
        <item x="395"/>
        <item x="168"/>
        <item x="269"/>
        <item x="502"/>
        <item x="615"/>
        <item x="539"/>
        <item x="324"/>
        <item x="112"/>
        <item x="200"/>
        <item x="184"/>
        <item x="598"/>
        <item x="182"/>
        <item x="496"/>
        <item x="317"/>
        <item x="515"/>
        <item x="458"/>
        <item x="533"/>
        <item x="575"/>
        <item x="620"/>
        <item x="569"/>
        <item x="508"/>
        <item x="253"/>
        <item x="404"/>
        <item x="501"/>
        <item x="73"/>
        <item x="386"/>
        <item x="379"/>
        <item x="367"/>
        <item x="485"/>
        <item x="209"/>
        <item x="605"/>
        <item x="457"/>
        <item x="551"/>
        <item x="301"/>
        <item x="471"/>
        <item x="494"/>
        <item x="380"/>
        <item x="336"/>
        <item x="77"/>
        <item x="325"/>
        <item x="607"/>
        <item x="548"/>
        <item x="410"/>
        <item x="593"/>
        <item x="555"/>
        <item x="366"/>
        <item x="350"/>
        <item x="165"/>
        <item x="433"/>
        <item x="124"/>
        <item x="164"/>
        <item x="616"/>
        <item x="107"/>
        <item x="491"/>
        <item x="545"/>
        <item x="594"/>
        <item x="290"/>
        <item x="521"/>
        <item x="475"/>
        <item x="448"/>
        <item x="385"/>
        <item x="546"/>
        <item x="572"/>
        <item x="57"/>
        <item x="288"/>
        <item x="483"/>
        <item x="411"/>
        <item x="612"/>
        <item x="528"/>
        <item x="463"/>
        <item x="591"/>
        <item x="326"/>
        <item x="609"/>
        <item x="309"/>
        <item x="566"/>
        <item x="579"/>
        <item x="601"/>
        <item x="338"/>
        <item x="619"/>
        <item x="511"/>
        <item x="90"/>
        <item x="450"/>
        <item x="420"/>
        <item x="56"/>
        <item x="498"/>
        <item x="409"/>
        <item x="356"/>
        <item x="391"/>
        <item x="592"/>
        <item x="365"/>
        <item x="557"/>
        <item x="384"/>
        <item x="596"/>
        <item x="456"/>
        <item x="565"/>
        <item x="364"/>
        <item x="219"/>
        <item x="390"/>
        <item x="20"/>
        <item x="595"/>
        <item x="462"/>
        <item x="349"/>
        <item x="197"/>
        <item x="561"/>
        <item x="419"/>
        <item x="497"/>
        <item x="208"/>
        <item x="526"/>
        <item x="520"/>
        <item x="1"/>
        <item x="277"/>
        <item x="578"/>
        <item x="550"/>
        <item x="229"/>
        <item x="474"/>
        <item x="584"/>
        <item x="617"/>
        <item x="489"/>
        <item x="500"/>
        <item x="576"/>
        <item x="507"/>
        <item x="137"/>
        <item x="447"/>
        <item x="589"/>
        <item x="265"/>
        <item x="606"/>
        <item x="40"/>
        <item x="376"/>
        <item x="180"/>
        <item x="152"/>
        <item x="571"/>
        <item x="299"/>
        <item x="316"/>
        <item x="603"/>
        <item x="401"/>
        <item x="611"/>
        <item x="532"/>
        <item x="432"/>
        <item x="618"/>
        <item x="538"/>
        <item x="441"/>
        <item x="547"/>
        <item x="241"/>
        <item x="422"/>
        <item x="470"/>
        <item x="437"/>
        <item x="251"/>
        <item x="514"/>
      </items>
    </pivotField>
    <pivotField dataField="1" showAll="0" defaultSubtotal="0">
      <items count="19">
        <item x="8"/>
        <item x="5"/>
        <item x="9"/>
        <item x="2"/>
        <item x="11"/>
        <item x="6"/>
        <item x="3"/>
        <item x="16"/>
        <item x="0"/>
        <item x="13"/>
        <item x="17"/>
        <item x="14"/>
        <item x="4"/>
        <item x="12"/>
        <item x="18"/>
        <item x="15"/>
        <item x="1"/>
        <item x="7"/>
        <item x="10"/>
      </items>
    </pivotField>
  </pivotFields>
  <rowFields count="3">
    <field x="2"/>
    <field x="6"/>
    <field x="5"/>
  </rowFields>
  <rowItems count="1693">
    <i>
      <x/>
    </i>
    <i r="1">
      <x/>
      <x v="40"/>
    </i>
    <i r="1">
      <x v="1"/>
      <x v="36"/>
    </i>
    <i r="1">
      <x v="2"/>
      <x v="42"/>
    </i>
    <i r="1">
      <x v="3"/>
      <x v="33"/>
    </i>
    <i r="1">
      <x v="4"/>
      <x v="37"/>
    </i>
    <i r="1">
      <x v="5"/>
      <x/>
    </i>
    <i r="1">
      <x v="6"/>
      <x v="46"/>
    </i>
    <i r="1">
      <x v="7"/>
      <x v="31"/>
    </i>
    <i r="1">
      <x v="8"/>
      <x v="45"/>
    </i>
    <i r="1">
      <x v="9"/>
      <x v="2"/>
    </i>
    <i r="1">
      <x v="10"/>
      <x v="1"/>
    </i>
    <i r="1">
      <x v="11"/>
      <x v="14"/>
    </i>
    <i r="1">
      <x v="12"/>
      <x v="30"/>
    </i>
    <i r="1">
      <x v="13"/>
      <x v="32"/>
    </i>
    <i r="1">
      <x v="14"/>
      <x v="35"/>
    </i>
    <i r="1">
      <x v="15"/>
      <x v="29"/>
    </i>
    <i r="1">
      <x v="16"/>
      <x v="28"/>
    </i>
    <i r="1">
      <x v="17"/>
      <x v="38"/>
    </i>
    <i r="1">
      <x v="18"/>
      <x v="27"/>
    </i>
    <i r="1">
      <x v="19"/>
      <x v="47"/>
    </i>
    <i t="blank">
      <x/>
    </i>
    <i>
      <x v="1"/>
    </i>
    <i r="1">
      <x/>
      <x v="40"/>
    </i>
    <i r="1">
      <x v="1"/>
      <x v="36"/>
    </i>
    <i r="1">
      <x v="2"/>
      <x v="37"/>
    </i>
    <i r="1">
      <x v="3"/>
      <x v="42"/>
    </i>
    <i r="1">
      <x v="4"/>
      <x v="33"/>
    </i>
    <i r="1">
      <x v="5"/>
      <x v="46"/>
    </i>
    <i r="1">
      <x v="6"/>
      <x v="31"/>
    </i>
    <i r="1">
      <x v="7"/>
      <x v="30"/>
    </i>
    <i r="1">
      <x v="8"/>
      <x/>
    </i>
    <i r="1">
      <x v="9"/>
      <x v="29"/>
    </i>
    <i r="1">
      <x v="10"/>
      <x v="2"/>
    </i>
    <i r="1">
      <x v="11"/>
      <x v="35"/>
    </i>
    <i r="1">
      <x v="12"/>
      <x v="28"/>
    </i>
    <i r="1">
      <x v="13"/>
      <x v="38"/>
    </i>
    <i r="1">
      <x v="14"/>
      <x v="1"/>
    </i>
    <i r="1">
      <x v="15"/>
      <x v="14"/>
    </i>
    <i r="1">
      <x v="16"/>
      <x v="45"/>
    </i>
    <i r="1">
      <x v="17"/>
      <x v="27"/>
    </i>
    <i r="1">
      <x v="18"/>
      <x v="51"/>
    </i>
    <i r="1">
      <x v="19"/>
      <x v="25"/>
    </i>
    <i t="blank">
      <x v="1"/>
    </i>
    <i>
      <x v="2"/>
    </i>
    <i r="1">
      <x/>
      <x v="40"/>
    </i>
    <i r="1">
      <x v="1"/>
      <x v="36"/>
    </i>
    <i r="1">
      <x v="2"/>
      <x v="42"/>
    </i>
    <i r="1">
      <x v="3"/>
      <x v="33"/>
    </i>
    <i r="1">
      <x v="4"/>
      <x v="46"/>
    </i>
    <i r="1">
      <x v="5"/>
      <x v="37"/>
    </i>
    <i r="1">
      <x v="6"/>
      <x v="2"/>
    </i>
    <i r="1">
      <x v="7"/>
      <x v="31"/>
    </i>
    <i r="1">
      <x v="8"/>
      <x v="45"/>
    </i>
    <i r="1">
      <x v="9"/>
      <x v="1"/>
    </i>
    <i r="1">
      <x v="10"/>
      <x/>
    </i>
    <i r="1">
      <x v="11"/>
      <x v="30"/>
    </i>
    <i r="1">
      <x v="12"/>
      <x v="28"/>
    </i>
    <i r="1">
      <x v="13"/>
      <x v="8"/>
    </i>
    <i r="1">
      <x v="14"/>
      <x v="29"/>
    </i>
    <i r="1">
      <x v="15"/>
      <x v="35"/>
    </i>
    <i r="1">
      <x v="16"/>
      <x v="38"/>
    </i>
    <i r="1">
      <x v="17"/>
      <x v="47"/>
    </i>
    <i r="1">
      <x v="18"/>
      <x v="4"/>
    </i>
    <i r="1">
      <x v="19"/>
      <x v="32"/>
    </i>
    <i r="2">
      <x v="51"/>
    </i>
    <i t="blank">
      <x v="2"/>
    </i>
    <i>
      <x v="3"/>
    </i>
    <i r="1">
      <x/>
      <x v="40"/>
    </i>
    <i r="1">
      <x v="1"/>
      <x v="36"/>
    </i>
    <i r="1">
      <x v="2"/>
      <x v="26"/>
    </i>
    <i r="1">
      <x v="3"/>
      <x v="42"/>
    </i>
    <i r="1">
      <x v="4"/>
      <x v="37"/>
    </i>
    <i r="1">
      <x v="5"/>
      <x v="33"/>
    </i>
    <i r="1">
      <x v="6"/>
      <x v="46"/>
    </i>
    <i r="1">
      <x v="7"/>
      <x v="28"/>
    </i>
    <i r="1">
      <x v="8"/>
      <x v="45"/>
    </i>
    <i r="1">
      <x v="9"/>
      <x v="31"/>
    </i>
    <i r="1">
      <x v="10"/>
      <x v="2"/>
    </i>
    <i r="1">
      <x v="11"/>
      <x v="27"/>
    </i>
    <i r="1">
      <x v="12"/>
      <x v="35"/>
    </i>
    <i r="1">
      <x v="13"/>
      <x v="29"/>
    </i>
    <i r="1">
      <x v="14"/>
      <x v="38"/>
    </i>
    <i r="1">
      <x v="15"/>
      <x v="8"/>
    </i>
    <i r="1">
      <x v="16"/>
      <x/>
    </i>
    <i r="2">
      <x v="30"/>
    </i>
    <i r="1">
      <x v="18"/>
      <x v="4"/>
    </i>
    <i r="1">
      <x v="19"/>
      <x v="1"/>
    </i>
    <i t="blank">
      <x v="3"/>
    </i>
    <i>
      <x v="4"/>
    </i>
    <i r="1">
      <x/>
      <x v="40"/>
    </i>
    <i r="1">
      <x v="1"/>
      <x v="36"/>
    </i>
    <i r="1">
      <x v="2"/>
      <x v="42"/>
    </i>
    <i r="1">
      <x v="3"/>
      <x v="31"/>
    </i>
    <i r="1">
      <x v="4"/>
      <x v="33"/>
    </i>
    <i r="1">
      <x v="5"/>
      <x v="2"/>
    </i>
    <i r="1">
      <x v="6"/>
      <x v="1"/>
    </i>
    <i r="1">
      <x v="7"/>
      <x/>
    </i>
    <i r="1">
      <x v="8"/>
      <x v="46"/>
    </i>
    <i r="1">
      <x v="9"/>
      <x v="45"/>
    </i>
    <i r="1">
      <x v="10"/>
      <x v="14"/>
    </i>
    <i r="2">
      <x v="30"/>
    </i>
    <i r="2">
      <x v="32"/>
    </i>
    <i r="1">
      <x v="13"/>
      <x v="27"/>
    </i>
    <i r="1">
      <x v="14"/>
      <x v="37"/>
    </i>
    <i r="1">
      <x v="15"/>
      <x v="51"/>
    </i>
    <i r="1">
      <x v="16"/>
      <x v="26"/>
    </i>
    <i r="2">
      <x v="38"/>
    </i>
    <i r="1">
      <x v="18"/>
      <x v="28"/>
    </i>
    <i r="1">
      <x v="19"/>
      <x v="24"/>
    </i>
    <i r="2">
      <x v="35"/>
    </i>
    <i r="2">
      <x v="41"/>
    </i>
    <i t="blank">
      <x v="4"/>
    </i>
    <i>
      <x v="5"/>
    </i>
    <i r="1">
      <x/>
      <x v="40"/>
    </i>
    <i r="1">
      <x v="1"/>
      <x v="37"/>
    </i>
    <i r="1">
      <x v="2"/>
      <x v="36"/>
    </i>
    <i r="1">
      <x v="3"/>
      <x v="38"/>
    </i>
    <i r="1">
      <x v="4"/>
      <x v="28"/>
    </i>
    <i r="1">
      <x v="5"/>
      <x v="27"/>
    </i>
    <i r="1">
      <x v="6"/>
      <x v="29"/>
    </i>
    <i r="1">
      <x v="7"/>
      <x v="42"/>
    </i>
    <i r="1">
      <x v="8"/>
      <x v="33"/>
    </i>
    <i r="1">
      <x v="9"/>
      <x v="14"/>
    </i>
    <i r="1">
      <x v="10"/>
      <x v="51"/>
    </i>
    <i r="1">
      <x v="11"/>
      <x v="35"/>
    </i>
    <i r="1">
      <x v="12"/>
      <x v="25"/>
    </i>
    <i r="1">
      <x v="13"/>
      <x v="30"/>
    </i>
    <i r="1">
      <x v="14"/>
      <x/>
    </i>
    <i r="1">
      <x v="15"/>
      <x v="2"/>
    </i>
    <i r="1">
      <x v="16"/>
      <x v="46"/>
    </i>
    <i r="1">
      <x v="17"/>
      <x v="19"/>
    </i>
    <i r="1">
      <x v="18"/>
      <x v="31"/>
    </i>
    <i r="1">
      <x v="19"/>
      <x v="1"/>
    </i>
    <i t="blank">
      <x v="5"/>
    </i>
    <i>
      <x v="6"/>
    </i>
    <i r="1">
      <x/>
      <x v="40"/>
    </i>
    <i r="1">
      <x v="1"/>
      <x v="36"/>
    </i>
    <i r="1">
      <x v="2"/>
      <x v="42"/>
    </i>
    <i r="1">
      <x v="3"/>
      <x v="14"/>
    </i>
    <i r="1">
      <x v="4"/>
      <x v="33"/>
    </i>
    <i r="1">
      <x v="5"/>
      <x v="31"/>
    </i>
    <i r="1">
      <x v="6"/>
      <x/>
    </i>
    <i r="1">
      <x v="7"/>
      <x v="1"/>
    </i>
    <i r="1">
      <x v="8"/>
      <x v="46"/>
    </i>
    <i r="1">
      <x v="9"/>
      <x v="2"/>
    </i>
    <i r="2">
      <x v="32"/>
    </i>
    <i r="1">
      <x v="11"/>
      <x v="27"/>
    </i>
    <i r="1">
      <x v="12"/>
      <x v="15"/>
    </i>
    <i r="1">
      <x v="13"/>
      <x v="28"/>
    </i>
    <i r="1">
      <x v="14"/>
      <x v="30"/>
    </i>
    <i r="1">
      <x v="15"/>
      <x v="16"/>
    </i>
    <i r="1">
      <x v="16"/>
      <x v="45"/>
    </i>
    <i r="1">
      <x v="17"/>
      <x v="37"/>
    </i>
    <i r="1">
      <x v="18"/>
      <x v="35"/>
    </i>
    <i r="1">
      <x v="19"/>
      <x v="38"/>
    </i>
    <i t="blank">
      <x v="6"/>
    </i>
    <i>
      <x v="7"/>
    </i>
    <i r="1">
      <x/>
      <x v="40"/>
    </i>
    <i r="1">
      <x v="1"/>
      <x v="36"/>
    </i>
    <i r="1">
      <x v="2"/>
      <x v="42"/>
    </i>
    <i r="1">
      <x v="3"/>
      <x v="33"/>
    </i>
    <i r="1">
      <x v="4"/>
      <x v="31"/>
    </i>
    <i r="1">
      <x v="5"/>
      <x v="14"/>
    </i>
    <i r="1">
      <x v="6"/>
      <x v="2"/>
    </i>
    <i r="1">
      <x v="7"/>
      <x/>
    </i>
    <i r="1">
      <x v="8"/>
      <x v="1"/>
    </i>
    <i r="1">
      <x v="9"/>
      <x v="27"/>
    </i>
    <i r="1">
      <x v="10"/>
      <x v="46"/>
    </i>
    <i r="1">
      <x v="11"/>
      <x v="30"/>
    </i>
    <i r="2">
      <x v="32"/>
    </i>
    <i r="1">
      <x v="13"/>
      <x v="16"/>
    </i>
    <i r="1">
      <x v="14"/>
      <x v="15"/>
    </i>
    <i r="2">
      <x v="28"/>
    </i>
    <i r="1">
      <x v="16"/>
      <x v="29"/>
    </i>
    <i r="1">
      <x v="17"/>
      <x v="13"/>
    </i>
    <i r="1">
      <x v="18"/>
      <x v="49"/>
    </i>
    <i r="1">
      <x v="19"/>
      <x v="35"/>
    </i>
    <i t="blank">
      <x v="7"/>
    </i>
    <i>
      <x v="8"/>
    </i>
    <i r="1">
      <x/>
      <x v="36"/>
    </i>
    <i r="1">
      <x v="1"/>
      <x v="40"/>
    </i>
    <i r="1">
      <x v="2"/>
      <x v="37"/>
    </i>
    <i r="1">
      <x v="3"/>
      <x v="33"/>
    </i>
    <i r="1">
      <x v="4"/>
      <x v="42"/>
    </i>
    <i r="1">
      <x v="5"/>
      <x v="29"/>
    </i>
    <i r="1">
      <x v="6"/>
      <x v="45"/>
    </i>
    <i r="1">
      <x v="7"/>
      <x v="46"/>
    </i>
    <i r="1">
      <x v="8"/>
      <x v="30"/>
    </i>
    <i r="1">
      <x v="9"/>
      <x v="35"/>
    </i>
    <i r="1">
      <x v="10"/>
      <x v="38"/>
    </i>
    <i r="1">
      <x v="11"/>
      <x v="31"/>
    </i>
    <i r="1">
      <x v="12"/>
      <x v="8"/>
    </i>
    <i r="1">
      <x v="13"/>
      <x v="28"/>
    </i>
    <i r="1">
      <x v="14"/>
      <x/>
    </i>
    <i r="1">
      <x v="15"/>
      <x v="25"/>
    </i>
    <i r="1">
      <x v="16"/>
      <x v="27"/>
    </i>
    <i r="1">
      <x v="17"/>
      <x v="51"/>
    </i>
    <i r="1">
      <x v="18"/>
      <x v="1"/>
    </i>
    <i r="1">
      <x v="19"/>
      <x v="43"/>
    </i>
    <i t="blank">
      <x v="8"/>
    </i>
    <i>
      <x v="9"/>
    </i>
    <i r="1">
      <x/>
      <x v="36"/>
    </i>
    <i r="1">
      <x v="1"/>
      <x v="40"/>
    </i>
    <i r="1">
      <x v="2"/>
      <x v="33"/>
    </i>
    <i r="1">
      <x v="3"/>
      <x v="29"/>
    </i>
    <i r="1">
      <x v="4"/>
      <x v="26"/>
    </i>
    <i r="1">
      <x v="5"/>
      <x v="37"/>
    </i>
    <i r="1">
      <x v="6"/>
      <x v="42"/>
    </i>
    <i r="1">
      <x v="7"/>
      <x v="28"/>
    </i>
    <i r="1">
      <x v="8"/>
      <x v="32"/>
    </i>
    <i r="1">
      <x v="9"/>
      <x v="31"/>
    </i>
    <i r="1">
      <x v="10"/>
      <x v="27"/>
    </i>
    <i r="1">
      <x v="11"/>
      <x v="30"/>
    </i>
    <i r="2">
      <x v="35"/>
    </i>
    <i r="1">
      <x v="13"/>
      <x v="46"/>
    </i>
    <i r="1">
      <x v="14"/>
      <x v="2"/>
    </i>
    <i r="1">
      <x v="15"/>
      <x/>
    </i>
    <i r="2">
      <x v="1"/>
    </i>
    <i r="1">
      <x v="17"/>
      <x v="51"/>
    </i>
    <i r="1">
      <x v="18"/>
      <x v="38"/>
    </i>
    <i r="1">
      <x v="19"/>
      <x v="45"/>
    </i>
    <i t="blank">
      <x v="9"/>
    </i>
    <i>
      <x v="10"/>
    </i>
    <i r="1">
      <x/>
      <x v="40"/>
    </i>
    <i r="1">
      <x v="1"/>
      <x v="36"/>
    </i>
    <i r="1">
      <x v="2"/>
      <x v="14"/>
    </i>
    <i r="1">
      <x v="3"/>
      <x v="42"/>
    </i>
    <i r="1">
      <x v="4"/>
      <x v="16"/>
    </i>
    <i r="1">
      <x v="5"/>
      <x v="2"/>
    </i>
    <i r="1">
      <x v="6"/>
      <x v="31"/>
    </i>
    <i r="1">
      <x v="7"/>
      <x/>
    </i>
    <i r="1">
      <x v="8"/>
      <x v="33"/>
    </i>
    <i r="1">
      <x v="9"/>
      <x v="15"/>
    </i>
    <i r="1">
      <x v="10"/>
      <x v="1"/>
    </i>
    <i r="1">
      <x v="11"/>
      <x v="46"/>
    </i>
    <i r="1">
      <x v="12"/>
      <x v="27"/>
    </i>
    <i r="1">
      <x v="13"/>
      <x v="32"/>
    </i>
    <i r="1">
      <x v="14"/>
      <x v="28"/>
    </i>
    <i r="1">
      <x v="15"/>
      <x v="45"/>
    </i>
    <i r="1">
      <x v="16"/>
      <x v="13"/>
    </i>
    <i r="1">
      <x v="17"/>
      <x v="37"/>
    </i>
    <i r="1">
      <x v="18"/>
      <x v="35"/>
    </i>
    <i r="2">
      <x v="47"/>
    </i>
    <i t="blank">
      <x v="10"/>
    </i>
    <i>
      <x v="11"/>
    </i>
    <i r="1">
      <x/>
      <x v="36"/>
    </i>
    <i r="1">
      <x v="1"/>
      <x v="40"/>
    </i>
    <i r="1">
      <x v="2"/>
      <x v="42"/>
    </i>
    <i r="1">
      <x v="3"/>
      <x v="1"/>
    </i>
    <i r="1">
      <x v="4"/>
      <x v="46"/>
    </i>
    <i r="1">
      <x v="5"/>
      <x v="2"/>
    </i>
    <i r="1">
      <x v="6"/>
      <x/>
    </i>
    <i r="1">
      <x v="7"/>
      <x v="33"/>
    </i>
    <i r="1">
      <x v="8"/>
      <x v="31"/>
    </i>
    <i r="1">
      <x v="9"/>
      <x v="37"/>
    </i>
    <i r="1">
      <x v="10"/>
      <x v="45"/>
    </i>
    <i r="1">
      <x v="11"/>
      <x v="28"/>
    </i>
    <i r="2">
      <x v="35"/>
    </i>
    <i r="1">
      <x v="13"/>
      <x v="38"/>
    </i>
    <i r="1">
      <x v="14"/>
      <x v="29"/>
    </i>
    <i r="1">
      <x v="15"/>
      <x v="47"/>
    </i>
    <i r="1">
      <x v="16"/>
      <x v="32"/>
    </i>
    <i r="2">
      <x v="43"/>
    </i>
    <i r="1">
      <x v="18"/>
      <x v="51"/>
    </i>
    <i r="1">
      <x v="19"/>
      <x v="30"/>
    </i>
    <i t="blank">
      <x v="11"/>
    </i>
    <i>
      <x v="12"/>
    </i>
    <i r="1">
      <x/>
      <x v="40"/>
    </i>
    <i r="1">
      <x v="1"/>
      <x v="36"/>
    </i>
    <i r="1">
      <x v="2"/>
      <x v="42"/>
    </i>
    <i r="1">
      <x v="3"/>
      <x v="33"/>
    </i>
    <i r="1">
      <x v="4"/>
      <x v="8"/>
    </i>
    <i r="1">
      <x v="5"/>
      <x v="31"/>
    </i>
    <i r="1">
      <x v="6"/>
      <x v="14"/>
    </i>
    <i r="1">
      <x v="7"/>
      <x v="30"/>
    </i>
    <i r="1">
      <x v="8"/>
      <x v="46"/>
    </i>
    <i r="1">
      <x v="9"/>
      <x v="29"/>
    </i>
    <i r="1">
      <x v="10"/>
      <x v="37"/>
    </i>
    <i r="1">
      <x v="11"/>
      <x/>
    </i>
    <i r="1">
      <x v="12"/>
      <x v="16"/>
    </i>
    <i r="1">
      <x v="13"/>
      <x v="4"/>
    </i>
    <i r="2">
      <x v="27"/>
    </i>
    <i r="2">
      <x v="28"/>
    </i>
    <i r="2">
      <x v="32"/>
    </i>
    <i r="1">
      <x v="17"/>
      <x v="2"/>
    </i>
    <i r="1">
      <x v="18"/>
      <x v="1"/>
    </i>
    <i r="1">
      <x v="19"/>
      <x v="7"/>
    </i>
    <i t="blank">
      <x v="12"/>
    </i>
    <i>
      <x v="13"/>
    </i>
    <i r="1">
      <x/>
      <x v="40"/>
    </i>
    <i r="1">
      <x v="1"/>
      <x v="36"/>
    </i>
    <i r="1">
      <x v="2"/>
      <x v="14"/>
    </i>
    <i r="1">
      <x v="3"/>
      <x v="42"/>
    </i>
    <i r="1">
      <x v="4"/>
      <x v="33"/>
    </i>
    <i r="1">
      <x v="5"/>
      <x v="31"/>
    </i>
    <i r="1">
      <x v="6"/>
      <x v="46"/>
    </i>
    <i r="1">
      <x v="7"/>
      <x v="9"/>
    </i>
    <i r="1">
      <x v="8"/>
      <x v="8"/>
    </i>
    <i r="1">
      <x v="9"/>
      <x/>
    </i>
    <i r="1">
      <x v="10"/>
      <x v="30"/>
    </i>
    <i r="1">
      <x v="11"/>
      <x v="10"/>
    </i>
    <i r="1">
      <x v="12"/>
      <x v="16"/>
    </i>
    <i r="1">
      <x v="13"/>
      <x v="29"/>
    </i>
    <i r="1">
      <x v="14"/>
      <x v="2"/>
    </i>
    <i r="1">
      <x v="15"/>
      <x v="32"/>
    </i>
    <i r="1">
      <x v="16"/>
      <x v="18"/>
    </i>
    <i r="1">
      <x v="17"/>
      <x v="1"/>
    </i>
    <i r="1">
      <x v="18"/>
      <x v="4"/>
    </i>
    <i r="1">
      <x v="19"/>
      <x v="47"/>
    </i>
    <i t="blank">
      <x v="13"/>
    </i>
    <i>
      <x v="14"/>
    </i>
    <i r="1">
      <x/>
      <x v="40"/>
    </i>
    <i r="1">
      <x v="1"/>
      <x v="36"/>
    </i>
    <i r="1">
      <x v="2"/>
      <x v="42"/>
    </i>
    <i r="1">
      <x v="3"/>
      <x v="33"/>
    </i>
    <i r="1">
      <x v="4"/>
      <x v="31"/>
    </i>
    <i r="1">
      <x v="5"/>
      <x v="46"/>
    </i>
    <i r="1">
      <x v="6"/>
      <x/>
    </i>
    <i r="1">
      <x v="7"/>
      <x v="2"/>
    </i>
    <i r="1">
      <x v="8"/>
      <x v="30"/>
    </i>
    <i r="1">
      <x v="9"/>
      <x v="1"/>
    </i>
    <i r="1">
      <x v="10"/>
      <x v="45"/>
    </i>
    <i r="1">
      <x v="11"/>
      <x v="32"/>
    </i>
    <i r="1">
      <x v="12"/>
      <x v="4"/>
    </i>
    <i r="2">
      <x v="37"/>
    </i>
    <i r="1">
      <x v="14"/>
      <x v="35"/>
    </i>
    <i r="1">
      <x v="15"/>
      <x v="29"/>
    </i>
    <i r="1">
      <x v="16"/>
      <x v="38"/>
    </i>
    <i r="1">
      <x v="17"/>
      <x v="47"/>
    </i>
    <i r="1">
      <x v="18"/>
      <x v="28"/>
    </i>
    <i r="2">
      <x v="43"/>
    </i>
    <i t="blank">
      <x v="14"/>
    </i>
    <i>
      <x v="15"/>
    </i>
    <i r="1">
      <x/>
      <x v="36"/>
    </i>
    <i r="1">
      <x v="1"/>
      <x v="40"/>
    </i>
    <i r="1">
      <x v="2"/>
      <x v="42"/>
    </i>
    <i r="1">
      <x v="3"/>
      <x v="33"/>
    </i>
    <i r="1">
      <x v="4"/>
      <x v="46"/>
    </i>
    <i r="1">
      <x v="5"/>
      <x v="8"/>
    </i>
    <i r="1">
      <x v="6"/>
      <x v="2"/>
    </i>
    <i r="1">
      <x v="7"/>
      <x v="31"/>
    </i>
    <i r="1">
      <x v="8"/>
      <x v="1"/>
    </i>
    <i r="1">
      <x v="9"/>
      <x/>
    </i>
    <i r="1">
      <x v="10"/>
      <x v="37"/>
    </i>
    <i r="1">
      <x v="11"/>
      <x v="45"/>
    </i>
    <i r="1">
      <x v="12"/>
      <x v="14"/>
    </i>
    <i r="1">
      <x v="13"/>
      <x v="4"/>
    </i>
    <i r="1">
      <x v="14"/>
      <x v="29"/>
    </i>
    <i r="2">
      <x v="32"/>
    </i>
    <i r="2">
      <x v="35"/>
    </i>
    <i r="1">
      <x v="17"/>
      <x v="30"/>
    </i>
    <i r="1">
      <x v="18"/>
      <x v="38"/>
    </i>
    <i r="1">
      <x v="19"/>
      <x v="28"/>
    </i>
    <i t="blank">
      <x v="15"/>
    </i>
    <i>
      <x v="16"/>
    </i>
    <i r="1">
      <x/>
      <x v="36"/>
    </i>
    <i r="1">
      <x v="1"/>
      <x v="40"/>
    </i>
    <i r="1">
      <x v="2"/>
      <x v="42"/>
    </i>
    <i r="1">
      <x v="3"/>
      <x v="33"/>
    </i>
    <i r="1">
      <x v="4"/>
      <x v="46"/>
    </i>
    <i r="1">
      <x v="5"/>
      <x v="31"/>
    </i>
    <i r="1">
      <x v="6"/>
      <x v="37"/>
    </i>
    <i r="1">
      <x v="7"/>
      <x v="30"/>
    </i>
    <i r="1">
      <x v="8"/>
      <x v="45"/>
    </i>
    <i r="1">
      <x v="9"/>
      <x v="35"/>
    </i>
    <i r="1">
      <x v="10"/>
      <x/>
    </i>
    <i r="1">
      <x v="11"/>
      <x v="29"/>
    </i>
    <i r="1">
      <x v="12"/>
      <x v="32"/>
    </i>
    <i r="1">
      <x v="13"/>
      <x v="38"/>
    </i>
    <i r="1">
      <x v="14"/>
      <x v="2"/>
    </i>
    <i r="1">
      <x v="15"/>
      <x v="1"/>
    </i>
    <i r="1">
      <x v="16"/>
      <x v="47"/>
    </i>
    <i r="1">
      <x v="17"/>
      <x v="8"/>
    </i>
    <i r="1">
      <x v="18"/>
      <x v="27"/>
    </i>
    <i r="1">
      <x v="19"/>
      <x v="25"/>
    </i>
    <i t="blank">
      <x v="16"/>
    </i>
    <i>
      <x v="17"/>
    </i>
    <i r="1">
      <x/>
      <x v="36"/>
    </i>
    <i r="1">
      <x v="1"/>
      <x v="40"/>
    </i>
    <i r="1">
      <x v="2"/>
      <x v="42"/>
    </i>
    <i r="1">
      <x v="3"/>
      <x v="46"/>
    </i>
    <i r="1">
      <x v="4"/>
      <x v="33"/>
    </i>
    <i r="1">
      <x v="5"/>
      <x/>
    </i>
    <i r="1">
      <x v="6"/>
      <x v="31"/>
    </i>
    <i r="1">
      <x v="7"/>
      <x v="2"/>
    </i>
    <i r="1">
      <x v="8"/>
      <x v="1"/>
    </i>
    <i r="1">
      <x v="9"/>
      <x v="35"/>
    </i>
    <i r="1">
      <x v="10"/>
      <x v="45"/>
    </i>
    <i r="1">
      <x v="11"/>
      <x v="37"/>
    </i>
    <i r="1">
      <x v="12"/>
      <x v="30"/>
    </i>
    <i r="1">
      <x v="13"/>
      <x v="32"/>
    </i>
    <i r="1">
      <x v="14"/>
      <x v="29"/>
    </i>
    <i r="1">
      <x v="15"/>
      <x v="43"/>
    </i>
    <i r="1">
      <x v="16"/>
      <x v="38"/>
    </i>
    <i r="1">
      <x v="17"/>
      <x v="47"/>
    </i>
    <i r="1">
      <x v="18"/>
      <x v="51"/>
    </i>
    <i r="1">
      <x v="19"/>
      <x v="34"/>
    </i>
    <i t="blank">
      <x v="17"/>
    </i>
    <i>
      <x v="18"/>
    </i>
    <i r="1">
      <x/>
      <x v="36"/>
    </i>
    <i r="1">
      <x v="1"/>
      <x v="40"/>
    </i>
    <i r="1">
      <x v="2"/>
      <x v="42"/>
    </i>
    <i r="1">
      <x v="3"/>
      <x v="33"/>
    </i>
    <i r="1">
      <x v="4"/>
      <x v="31"/>
    </i>
    <i r="1">
      <x v="5"/>
      <x v="46"/>
    </i>
    <i r="1">
      <x v="6"/>
      <x/>
    </i>
    <i r="1">
      <x v="7"/>
      <x v="1"/>
    </i>
    <i r="2">
      <x v="2"/>
    </i>
    <i r="1">
      <x v="9"/>
      <x v="45"/>
    </i>
    <i r="1">
      <x v="10"/>
      <x v="30"/>
    </i>
    <i r="1">
      <x v="11"/>
      <x v="32"/>
    </i>
    <i r="1">
      <x v="12"/>
      <x v="8"/>
    </i>
    <i r="2">
      <x v="29"/>
    </i>
    <i r="1">
      <x v="14"/>
      <x v="35"/>
    </i>
    <i r="1">
      <x v="15"/>
      <x v="37"/>
    </i>
    <i r="1">
      <x v="16"/>
      <x v="26"/>
    </i>
    <i r="1">
      <x v="17"/>
      <x v="47"/>
    </i>
    <i r="1">
      <x v="18"/>
      <x v="14"/>
    </i>
    <i r="1">
      <x v="19"/>
      <x v="4"/>
    </i>
    <i r="2">
      <x v="27"/>
    </i>
    <i t="blank">
      <x v="18"/>
    </i>
    <i>
      <x v="19"/>
    </i>
    <i r="1">
      <x/>
      <x v="40"/>
    </i>
    <i r="1">
      <x v="1"/>
      <x v="36"/>
    </i>
    <i r="1">
      <x v="2"/>
      <x v="42"/>
    </i>
    <i r="1">
      <x v="3"/>
      <x v="33"/>
    </i>
    <i r="1">
      <x v="4"/>
      <x v="31"/>
    </i>
    <i r="1">
      <x v="5"/>
      <x v="46"/>
    </i>
    <i r="1">
      <x v="6"/>
      <x v="30"/>
    </i>
    <i r="1">
      <x v="7"/>
      <x v="14"/>
    </i>
    <i r="1">
      <x v="8"/>
      <x/>
    </i>
    <i r="1">
      <x v="9"/>
      <x v="47"/>
    </i>
    <i r="1">
      <x v="10"/>
      <x v="1"/>
    </i>
    <i r="1">
      <x v="11"/>
      <x v="32"/>
    </i>
    <i r="1">
      <x v="12"/>
      <x v="2"/>
    </i>
    <i r="1">
      <x v="13"/>
      <x v="11"/>
    </i>
    <i r="1">
      <x v="14"/>
      <x v="27"/>
    </i>
    <i r="1">
      <x v="15"/>
      <x v="16"/>
    </i>
    <i r="1">
      <x v="16"/>
      <x v="35"/>
    </i>
    <i r="1">
      <x v="17"/>
      <x v="39"/>
    </i>
    <i r="2">
      <x v="43"/>
    </i>
    <i r="1">
      <x v="19"/>
      <x v="29"/>
    </i>
    <i t="blank">
      <x v="19"/>
    </i>
    <i>
      <x v="20"/>
    </i>
    <i r="1">
      <x/>
      <x v="40"/>
    </i>
    <i r="1">
      <x v="1"/>
      <x v="36"/>
    </i>
    <i r="1">
      <x v="2"/>
      <x v="37"/>
    </i>
    <i r="1">
      <x v="3"/>
      <x v="28"/>
    </i>
    <i r="1">
      <x v="4"/>
      <x v="42"/>
    </i>
    <i r="1">
      <x v="5"/>
      <x v="33"/>
    </i>
    <i r="1">
      <x v="6"/>
      <x v="46"/>
    </i>
    <i r="1">
      <x v="7"/>
      <x v="2"/>
    </i>
    <i r="1">
      <x v="8"/>
      <x v="31"/>
    </i>
    <i r="1">
      <x v="9"/>
      <x v="38"/>
    </i>
    <i r="1">
      <x v="10"/>
      <x v="29"/>
    </i>
    <i r="1">
      <x v="11"/>
      <x v="1"/>
    </i>
    <i r="1">
      <x v="12"/>
      <x/>
    </i>
    <i r="1">
      <x v="13"/>
      <x v="35"/>
    </i>
    <i r="1">
      <x v="14"/>
      <x v="27"/>
    </i>
    <i r="1">
      <x v="15"/>
      <x v="19"/>
    </i>
    <i r="1">
      <x v="16"/>
      <x v="14"/>
    </i>
    <i r="1">
      <x v="17"/>
      <x v="45"/>
    </i>
    <i r="2">
      <x v="51"/>
    </i>
    <i r="1">
      <x v="19"/>
      <x v="16"/>
    </i>
    <i t="blank">
      <x v="20"/>
    </i>
    <i>
      <x v="21"/>
    </i>
    <i r="1">
      <x/>
      <x v="36"/>
    </i>
    <i r="1">
      <x v="1"/>
      <x v="42"/>
    </i>
    <i r="1">
      <x v="2"/>
      <x v="40"/>
    </i>
    <i r="1">
      <x v="3"/>
      <x/>
    </i>
    <i r="1">
      <x v="4"/>
      <x v="33"/>
    </i>
    <i r="1">
      <x v="5"/>
      <x v="2"/>
    </i>
    <i r="1">
      <x v="6"/>
      <x v="31"/>
    </i>
    <i r="1">
      <x v="7"/>
      <x v="46"/>
    </i>
    <i r="1">
      <x v="8"/>
      <x v="1"/>
    </i>
    <i r="2">
      <x v="14"/>
    </i>
    <i r="1">
      <x v="10"/>
      <x v="45"/>
    </i>
    <i r="1">
      <x v="11"/>
      <x v="32"/>
    </i>
    <i r="1">
      <x v="12"/>
      <x v="30"/>
    </i>
    <i r="1">
      <x v="13"/>
      <x v="27"/>
    </i>
    <i r="1">
      <x v="14"/>
      <x v="29"/>
    </i>
    <i r="1">
      <x v="15"/>
      <x v="4"/>
    </i>
    <i r="1">
      <x v="16"/>
      <x v="8"/>
    </i>
    <i r="1">
      <x v="17"/>
      <x v="16"/>
    </i>
    <i r="1">
      <x v="18"/>
      <x v="35"/>
    </i>
    <i r="1">
      <x v="19"/>
      <x v="43"/>
    </i>
    <i t="blank">
      <x v="21"/>
    </i>
    <i>
      <x v="22"/>
    </i>
    <i r="1">
      <x/>
      <x v="40"/>
    </i>
    <i r="1">
      <x v="1"/>
      <x v="36"/>
    </i>
    <i r="1">
      <x v="2"/>
      <x v="42"/>
    </i>
    <i r="1">
      <x v="3"/>
      <x v="33"/>
    </i>
    <i r="1">
      <x v="4"/>
      <x v="31"/>
    </i>
    <i r="1">
      <x v="5"/>
      <x v="46"/>
    </i>
    <i r="1">
      <x v="6"/>
      <x/>
    </i>
    <i r="1">
      <x v="7"/>
      <x v="2"/>
    </i>
    <i r="1">
      <x v="8"/>
      <x v="30"/>
    </i>
    <i r="1">
      <x v="9"/>
      <x v="1"/>
    </i>
    <i r="1">
      <x v="10"/>
      <x v="27"/>
    </i>
    <i r="1">
      <x v="11"/>
      <x v="32"/>
    </i>
    <i r="1">
      <x v="12"/>
      <x v="22"/>
    </i>
    <i r="1">
      <x v="13"/>
      <x v="14"/>
    </i>
    <i r="2">
      <x v="37"/>
    </i>
    <i r="1">
      <x v="15"/>
      <x v="24"/>
    </i>
    <i r="1">
      <x v="16"/>
      <x v="28"/>
    </i>
    <i r="2">
      <x v="35"/>
    </i>
    <i r="1">
      <x v="18"/>
      <x v="29"/>
    </i>
    <i r="1">
      <x v="19"/>
      <x v="47"/>
    </i>
    <i r="2">
      <x v="51"/>
    </i>
    <i t="blank">
      <x v="22"/>
    </i>
    <i>
      <x v="23"/>
    </i>
    <i r="1">
      <x/>
      <x v="36"/>
    </i>
    <i r="1">
      <x v="1"/>
      <x v="40"/>
    </i>
    <i r="1">
      <x v="2"/>
      <x v="14"/>
    </i>
    <i r="1">
      <x v="3"/>
      <x v="42"/>
    </i>
    <i r="1">
      <x v="4"/>
      <x v="33"/>
    </i>
    <i r="1">
      <x v="5"/>
      <x v="46"/>
    </i>
    <i r="1">
      <x v="6"/>
      <x v="31"/>
    </i>
    <i r="1">
      <x v="7"/>
      <x v="1"/>
    </i>
    <i r="1">
      <x v="8"/>
      <x v="2"/>
    </i>
    <i r="1">
      <x v="9"/>
      <x/>
    </i>
    <i r="1">
      <x v="10"/>
      <x v="9"/>
    </i>
    <i r="1">
      <x v="11"/>
      <x v="32"/>
    </i>
    <i r="1">
      <x v="12"/>
      <x v="16"/>
    </i>
    <i r="1">
      <x v="13"/>
      <x v="18"/>
    </i>
    <i r="1">
      <x v="14"/>
      <x v="30"/>
    </i>
    <i r="1">
      <x v="15"/>
      <x v="8"/>
    </i>
    <i r="1">
      <x v="16"/>
      <x v="45"/>
    </i>
    <i r="1">
      <x v="17"/>
      <x v="47"/>
    </i>
    <i r="1">
      <x v="18"/>
      <x v="35"/>
    </i>
    <i r="1">
      <x v="19"/>
      <x v="28"/>
    </i>
    <i r="2">
      <x v="29"/>
    </i>
    <i t="blank">
      <x v="23"/>
    </i>
    <i>
      <x v="24"/>
    </i>
    <i r="1">
      <x/>
      <x v="40"/>
    </i>
    <i r="1">
      <x v="1"/>
      <x v="37"/>
    </i>
    <i r="1">
      <x v="2"/>
      <x v="36"/>
    </i>
    <i r="1">
      <x v="3"/>
      <x v="33"/>
    </i>
    <i r="1">
      <x v="4"/>
      <x v="30"/>
    </i>
    <i r="1">
      <x v="5"/>
      <x v="42"/>
    </i>
    <i r="1">
      <x v="6"/>
      <x v="38"/>
    </i>
    <i r="1">
      <x v="7"/>
      <x v="35"/>
    </i>
    <i r="2">
      <x v="51"/>
    </i>
    <i r="1">
      <x v="9"/>
      <x v="46"/>
    </i>
    <i r="1">
      <x v="10"/>
      <x v="28"/>
    </i>
    <i r="1">
      <x v="11"/>
      <x v="20"/>
    </i>
    <i r="1">
      <x v="12"/>
      <x v="45"/>
    </i>
    <i r="1">
      <x v="13"/>
      <x v="29"/>
    </i>
    <i r="1">
      <x v="14"/>
      <x v="19"/>
    </i>
    <i r="1">
      <x v="15"/>
      <x v="31"/>
    </i>
    <i r="1">
      <x v="16"/>
      <x v="27"/>
    </i>
    <i r="1">
      <x v="17"/>
      <x v="2"/>
    </i>
    <i r="1">
      <x v="18"/>
      <x v="43"/>
    </i>
    <i r="1">
      <x v="19"/>
      <x/>
    </i>
    <i t="blank">
      <x v="24"/>
    </i>
    <i>
      <x v="25"/>
    </i>
    <i r="1">
      <x/>
      <x v="37"/>
    </i>
    <i r="1">
      <x v="1"/>
      <x v="40"/>
    </i>
    <i r="1">
      <x v="2"/>
      <x v="36"/>
    </i>
    <i r="1">
      <x v="3"/>
      <x v="25"/>
    </i>
    <i r="1">
      <x v="4"/>
      <x v="33"/>
    </i>
    <i r="1">
      <x v="5"/>
      <x v="30"/>
    </i>
    <i r="1">
      <x v="6"/>
      <x v="29"/>
    </i>
    <i r="1">
      <x v="7"/>
      <x v="42"/>
    </i>
    <i r="1">
      <x v="8"/>
      <x v="35"/>
    </i>
    <i r="1">
      <x v="9"/>
      <x v="38"/>
    </i>
    <i r="1">
      <x v="10"/>
      <x v="51"/>
    </i>
    <i r="1">
      <x v="11"/>
      <x v="28"/>
    </i>
    <i r="1">
      <x v="12"/>
      <x v="27"/>
    </i>
    <i r="1">
      <x v="13"/>
      <x v="46"/>
    </i>
    <i r="1">
      <x v="14"/>
      <x v="19"/>
    </i>
    <i r="1">
      <x v="15"/>
      <x v="45"/>
    </i>
    <i r="1">
      <x v="16"/>
      <x v="31"/>
    </i>
    <i r="1">
      <x v="17"/>
      <x v="34"/>
    </i>
    <i r="1">
      <x v="18"/>
      <x/>
    </i>
    <i r="1">
      <x v="19"/>
      <x v="43"/>
    </i>
    <i t="blank">
      <x v="25"/>
    </i>
    <i>
      <x v="26"/>
    </i>
    <i r="1">
      <x/>
      <x v="40"/>
    </i>
    <i r="1">
      <x v="1"/>
      <x v="36"/>
    </i>
    <i r="1">
      <x v="2"/>
      <x v="42"/>
    </i>
    <i r="1">
      <x v="3"/>
      <x/>
    </i>
    <i r="1">
      <x v="4"/>
      <x v="33"/>
    </i>
    <i r="1">
      <x v="5"/>
      <x v="46"/>
    </i>
    <i r="1">
      <x v="6"/>
      <x v="1"/>
    </i>
    <i r="1">
      <x v="7"/>
      <x v="2"/>
    </i>
    <i r="1">
      <x v="8"/>
      <x v="45"/>
    </i>
    <i r="1">
      <x v="9"/>
      <x v="31"/>
    </i>
    <i r="1">
      <x v="10"/>
      <x v="37"/>
    </i>
    <i r="1">
      <x v="11"/>
      <x v="32"/>
    </i>
    <i r="1">
      <x v="12"/>
      <x v="14"/>
    </i>
    <i r="1">
      <x v="13"/>
      <x v="35"/>
    </i>
    <i r="1">
      <x v="14"/>
      <x v="30"/>
    </i>
    <i r="1">
      <x v="15"/>
      <x v="47"/>
    </i>
    <i r="1">
      <x v="16"/>
      <x v="28"/>
    </i>
    <i r="1">
      <x v="17"/>
      <x v="38"/>
    </i>
    <i r="1">
      <x v="18"/>
      <x v="29"/>
    </i>
    <i r="1">
      <x v="19"/>
      <x v="27"/>
    </i>
    <i t="blank">
      <x v="26"/>
    </i>
    <i>
      <x v="27"/>
    </i>
    <i r="1">
      <x/>
      <x v="40"/>
    </i>
    <i r="1">
      <x v="1"/>
      <x v="42"/>
    </i>
    <i r="1">
      <x v="2"/>
      <x v="36"/>
    </i>
    <i r="1">
      <x v="3"/>
      <x v="33"/>
    </i>
    <i r="1">
      <x v="4"/>
      <x v="37"/>
    </i>
    <i r="1">
      <x v="5"/>
      <x v="46"/>
    </i>
    <i r="1">
      <x v="6"/>
      <x v="31"/>
    </i>
    <i r="1">
      <x v="7"/>
      <x v="45"/>
    </i>
    <i r="1">
      <x v="8"/>
      <x v="2"/>
    </i>
    <i r="1">
      <x v="9"/>
      <x/>
    </i>
    <i r="1">
      <x v="10"/>
      <x v="14"/>
    </i>
    <i r="1">
      <x v="11"/>
      <x v="1"/>
    </i>
    <i r="1">
      <x v="12"/>
      <x v="35"/>
    </i>
    <i r="1">
      <x v="13"/>
      <x v="30"/>
    </i>
    <i r="1">
      <x v="14"/>
      <x v="28"/>
    </i>
    <i r="1">
      <x v="15"/>
      <x v="29"/>
    </i>
    <i r="2">
      <x v="32"/>
    </i>
    <i r="1">
      <x v="17"/>
      <x v="47"/>
    </i>
    <i r="1">
      <x v="18"/>
      <x v="38"/>
    </i>
    <i r="1">
      <x v="19"/>
      <x v="27"/>
    </i>
    <i t="blank">
      <x v="27"/>
    </i>
    <i>
      <x v="28"/>
    </i>
    <i r="1">
      <x/>
      <x v="40"/>
    </i>
    <i r="1">
      <x v="1"/>
      <x v="42"/>
    </i>
    <i r="1">
      <x v="2"/>
      <x v="36"/>
    </i>
    <i r="1">
      <x v="3"/>
      <x/>
    </i>
    <i r="1">
      <x v="4"/>
      <x v="1"/>
    </i>
    <i r="1">
      <x v="5"/>
      <x v="2"/>
    </i>
    <i r="1">
      <x v="6"/>
      <x v="33"/>
    </i>
    <i r="1">
      <x v="7"/>
      <x v="32"/>
    </i>
    <i r="1">
      <x v="8"/>
      <x v="46"/>
    </i>
    <i r="1">
      <x v="9"/>
      <x v="45"/>
    </i>
    <i r="1">
      <x v="10"/>
      <x v="14"/>
    </i>
    <i r="1">
      <x v="11"/>
      <x v="31"/>
    </i>
    <i r="1">
      <x v="12"/>
      <x v="49"/>
    </i>
    <i r="1">
      <x v="13"/>
      <x v="35"/>
    </i>
    <i r="1">
      <x v="14"/>
      <x v="21"/>
    </i>
    <i r="1">
      <x v="15"/>
      <x v="4"/>
    </i>
    <i r="1">
      <x v="16"/>
      <x v="38"/>
    </i>
    <i r="1">
      <x v="17"/>
      <x v="47"/>
    </i>
    <i r="1">
      <x v="18"/>
      <x v="37"/>
    </i>
    <i r="1">
      <x v="19"/>
      <x v="30"/>
    </i>
    <i t="blank">
      <x v="28"/>
    </i>
    <i>
      <x v="29"/>
    </i>
    <i r="1">
      <x/>
      <x v="42"/>
    </i>
    <i r="1">
      <x v="1"/>
      <x v="36"/>
    </i>
    <i r="1">
      <x v="2"/>
      <x v="40"/>
    </i>
    <i r="1">
      <x v="3"/>
      <x v="46"/>
    </i>
    <i r="1">
      <x v="4"/>
      <x v="33"/>
    </i>
    <i r="1">
      <x v="5"/>
      <x v="45"/>
    </i>
    <i r="1">
      <x v="6"/>
      <x/>
    </i>
    <i r="1">
      <x v="7"/>
      <x v="1"/>
    </i>
    <i r="1">
      <x v="8"/>
      <x v="31"/>
    </i>
    <i r="1">
      <x v="9"/>
      <x v="2"/>
    </i>
    <i r="1">
      <x v="10"/>
      <x v="37"/>
    </i>
    <i r="1">
      <x v="11"/>
      <x v="35"/>
    </i>
    <i r="1">
      <x v="12"/>
      <x v="43"/>
    </i>
    <i r="1">
      <x v="13"/>
      <x v="30"/>
    </i>
    <i r="1">
      <x v="14"/>
      <x v="29"/>
    </i>
    <i r="2">
      <x v="38"/>
    </i>
    <i r="1">
      <x v="16"/>
      <x v="28"/>
    </i>
    <i r="1">
      <x v="17"/>
      <x v="32"/>
    </i>
    <i r="2">
      <x v="51"/>
    </i>
    <i r="1">
      <x v="19"/>
      <x v="47"/>
    </i>
    <i t="blank">
      <x v="29"/>
    </i>
    <i>
      <x v="30"/>
    </i>
    <i r="1">
      <x/>
      <x v="40"/>
    </i>
    <i r="1">
      <x v="1"/>
      <x v="42"/>
    </i>
    <i r="1">
      <x v="2"/>
      <x v="36"/>
    </i>
    <i r="1">
      <x v="3"/>
      <x/>
    </i>
    <i r="1">
      <x v="4"/>
      <x v="33"/>
    </i>
    <i r="1">
      <x v="5"/>
      <x v="2"/>
    </i>
    <i r="1">
      <x v="6"/>
      <x v="1"/>
    </i>
    <i r="1">
      <x v="7"/>
      <x v="46"/>
    </i>
    <i r="1">
      <x v="8"/>
      <x v="32"/>
    </i>
    <i r="1">
      <x v="9"/>
      <x v="31"/>
    </i>
    <i r="1">
      <x v="10"/>
      <x v="45"/>
    </i>
    <i r="1">
      <x v="11"/>
      <x v="14"/>
    </i>
    <i r="1">
      <x v="12"/>
      <x v="30"/>
    </i>
    <i r="1">
      <x v="13"/>
      <x v="37"/>
    </i>
    <i r="1">
      <x v="14"/>
      <x v="35"/>
    </i>
    <i r="2">
      <x v="38"/>
    </i>
    <i r="1">
      <x v="16"/>
      <x v="43"/>
    </i>
    <i r="1">
      <x v="17"/>
      <x v="27"/>
    </i>
    <i r="2">
      <x v="47"/>
    </i>
    <i r="1">
      <x v="19"/>
      <x v="16"/>
    </i>
    <i t="blank">
      <x v="30"/>
    </i>
    <i>
      <x v="31"/>
    </i>
    <i r="1">
      <x/>
      <x v="36"/>
    </i>
    <i r="1">
      <x v="1"/>
      <x/>
    </i>
    <i r="1">
      <x v="2"/>
      <x v="42"/>
    </i>
    <i r="1">
      <x v="3"/>
      <x v="40"/>
    </i>
    <i r="1">
      <x v="4"/>
      <x v="33"/>
    </i>
    <i r="1">
      <x v="5"/>
      <x v="2"/>
    </i>
    <i r="1">
      <x v="6"/>
      <x v="46"/>
    </i>
    <i r="1">
      <x v="7"/>
      <x v="32"/>
    </i>
    <i r="1">
      <x v="8"/>
      <x v="1"/>
    </i>
    <i r="2">
      <x v="31"/>
    </i>
    <i r="1">
      <x v="10"/>
      <x v="45"/>
    </i>
    <i r="1">
      <x v="11"/>
      <x v="37"/>
    </i>
    <i r="1">
      <x v="12"/>
      <x v="30"/>
    </i>
    <i r="1">
      <x v="13"/>
      <x v="47"/>
    </i>
    <i r="1">
      <x v="14"/>
      <x v="49"/>
    </i>
    <i r="1">
      <x v="15"/>
      <x v="21"/>
    </i>
    <i r="1">
      <x v="16"/>
      <x v="14"/>
    </i>
    <i r="1">
      <x v="17"/>
      <x v="28"/>
    </i>
    <i r="2">
      <x v="38"/>
    </i>
    <i r="1">
      <x v="19"/>
      <x v="35"/>
    </i>
    <i r="2">
      <x v="51"/>
    </i>
    <i t="blank">
      <x v="31"/>
    </i>
    <i>
      <x v="32"/>
    </i>
    <i r="1">
      <x/>
      <x v="36"/>
    </i>
    <i r="2">
      <x v="42"/>
    </i>
    <i r="1">
      <x v="2"/>
      <x v="40"/>
    </i>
    <i r="1">
      <x v="3"/>
      <x/>
    </i>
    <i r="2">
      <x v="46"/>
    </i>
    <i r="1">
      <x v="5"/>
      <x v="1"/>
    </i>
    <i r="1">
      <x v="6"/>
      <x v="33"/>
    </i>
    <i r="1">
      <x v="7"/>
      <x v="2"/>
    </i>
    <i r="2">
      <x v="45"/>
    </i>
    <i r="1">
      <x v="9"/>
      <x v="37"/>
    </i>
    <i r="1">
      <x v="10"/>
      <x v="32"/>
    </i>
    <i r="1">
      <x v="11"/>
      <x v="31"/>
    </i>
    <i r="1">
      <x v="12"/>
      <x v="35"/>
    </i>
    <i r="1">
      <x v="13"/>
      <x v="30"/>
    </i>
    <i r="1">
      <x v="14"/>
      <x v="47"/>
    </i>
    <i r="1">
      <x v="15"/>
      <x v="29"/>
    </i>
    <i r="1">
      <x v="16"/>
      <x v="14"/>
    </i>
    <i r="1">
      <x v="17"/>
      <x v="28"/>
    </i>
    <i r="2">
      <x v="38"/>
    </i>
    <i r="1">
      <x v="19"/>
      <x v="51"/>
    </i>
    <i t="blank">
      <x v="32"/>
    </i>
    <i>
      <x v="33"/>
    </i>
    <i r="1">
      <x/>
      <x v="36"/>
    </i>
    <i r="1">
      <x v="1"/>
      <x v="14"/>
    </i>
    <i r="1">
      <x v="2"/>
      <x/>
    </i>
    <i r="1">
      <x v="3"/>
      <x v="1"/>
    </i>
    <i r="1">
      <x v="4"/>
      <x v="2"/>
    </i>
    <i r="1">
      <x v="5"/>
      <x v="40"/>
    </i>
    <i r="1">
      <x v="6"/>
      <x v="6"/>
    </i>
    <i r="1">
      <x v="7"/>
      <x v="32"/>
    </i>
    <i r="1">
      <x v="8"/>
      <x v="42"/>
    </i>
    <i r="1">
      <x v="9"/>
      <x v="16"/>
    </i>
    <i r="1">
      <x v="10"/>
      <x v="9"/>
    </i>
    <i r="1">
      <x v="11"/>
      <x v="27"/>
    </i>
    <i r="1">
      <x v="12"/>
      <x v="28"/>
    </i>
    <i r="1">
      <x v="13"/>
      <x v="33"/>
    </i>
    <i r="2">
      <x v="49"/>
    </i>
    <i r="1">
      <x v="15"/>
      <x v="5"/>
    </i>
    <i r="2">
      <x v="31"/>
    </i>
    <i r="2">
      <x v="37"/>
    </i>
    <i r="1">
      <x v="18"/>
      <x v="47"/>
    </i>
    <i r="1">
      <x v="19"/>
      <x v="13"/>
    </i>
    <i t="blank">
      <x v="33"/>
    </i>
    <i>
      <x v="34"/>
    </i>
    <i r="1">
      <x/>
      <x v="40"/>
    </i>
    <i r="1">
      <x v="1"/>
      <x v="36"/>
    </i>
    <i r="1">
      <x v="2"/>
      <x v="42"/>
    </i>
    <i r="1">
      <x v="3"/>
      <x/>
    </i>
    <i r="1">
      <x v="4"/>
      <x v="33"/>
    </i>
    <i r="1">
      <x v="5"/>
      <x v="45"/>
    </i>
    <i r="1">
      <x v="6"/>
      <x v="31"/>
    </i>
    <i r="1">
      <x v="7"/>
      <x v="46"/>
    </i>
    <i r="1">
      <x v="8"/>
      <x v="2"/>
    </i>
    <i r="1">
      <x v="9"/>
      <x v="1"/>
    </i>
    <i r="1">
      <x v="10"/>
      <x v="37"/>
    </i>
    <i r="1">
      <x v="11"/>
      <x v="32"/>
    </i>
    <i r="1">
      <x v="12"/>
      <x v="4"/>
    </i>
    <i r="1">
      <x v="13"/>
      <x v="47"/>
    </i>
    <i r="1">
      <x v="14"/>
      <x v="14"/>
    </i>
    <i r="1">
      <x v="15"/>
      <x v="35"/>
    </i>
    <i r="1">
      <x v="16"/>
      <x v="30"/>
    </i>
    <i r="1">
      <x v="17"/>
      <x v="43"/>
    </i>
    <i r="1">
      <x v="18"/>
      <x v="27"/>
    </i>
    <i r="1">
      <x v="19"/>
      <x v="49"/>
    </i>
    <i t="blank">
      <x v="34"/>
    </i>
    <i>
      <x v="35"/>
    </i>
    <i r="1">
      <x/>
      <x v="36"/>
    </i>
    <i r="1">
      <x v="1"/>
      <x v="40"/>
    </i>
    <i r="1">
      <x v="2"/>
      <x v="42"/>
    </i>
    <i r="1">
      <x v="3"/>
      <x v="33"/>
    </i>
    <i r="1">
      <x v="4"/>
      <x v="46"/>
    </i>
    <i r="1">
      <x v="5"/>
      <x v="45"/>
    </i>
    <i r="1">
      <x v="6"/>
      <x v="31"/>
    </i>
    <i r="1">
      <x v="7"/>
      <x/>
    </i>
    <i r="1">
      <x v="8"/>
      <x v="1"/>
    </i>
    <i r="2">
      <x v="37"/>
    </i>
    <i r="1">
      <x v="10"/>
      <x v="2"/>
    </i>
    <i r="1">
      <x v="11"/>
      <x v="14"/>
    </i>
    <i r="1">
      <x v="12"/>
      <x v="32"/>
    </i>
    <i r="1">
      <x v="13"/>
      <x v="30"/>
    </i>
    <i r="1">
      <x v="14"/>
      <x v="35"/>
    </i>
    <i r="1">
      <x v="15"/>
      <x v="16"/>
    </i>
    <i r="1">
      <x v="16"/>
      <x v="47"/>
    </i>
    <i r="1">
      <x v="17"/>
      <x v="38"/>
    </i>
    <i r="1">
      <x v="18"/>
      <x v="29"/>
    </i>
    <i r="1">
      <x v="19"/>
      <x v="28"/>
    </i>
    <i t="blank">
      <x v="35"/>
    </i>
    <i>
      <x v="36"/>
    </i>
    <i r="1">
      <x/>
      <x v="40"/>
    </i>
    <i r="1">
      <x v="1"/>
      <x v="36"/>
    </i>
    <i r="1">
      <x v="2"/>
      <x v="42"/>
    </i>
    <i r="1">
      <x v="3"/>
      <x v="33"/>
    </i>
    <i r="1">
      <x v="4"/>
      <x/>
    </i>
    <i r="1">
      <x v="5"/>
      <x v="46"/>
    </i>
    <i r="1">
      <x v="6"/>
      <x v="45"/>
    </i>
    <i r="1">
      <x v="7"/>
      <x v="31"/>
    </i>
    <i r="2">
      <x v="37"/>
    </i>
    <i r="1">
      <x v="9"/>
      <x v="2"/>
    </i>
    <i r="1">
      <x v="10"/>
      <x v="35"/>
    </i>
    <i r="1">
      <x v="11"/>
      <x v="32"/>
    </i>
    <i r="1">
      <x v="12"/>
      <x v="1"/>
    </i>
    <i r="1">
      <x v="13"/>
      <x v="30"/>
    </i>
    <i r="1">
      <x v="14"/>
      <x v="38"/>
    </i>
    <i r="1">
      <x v="15"/>
      <x v="29"/>
    </i>
    <i r="1">
      <x v="16"/>
      <x v="28"/>
    </i>
    <i r="1">
      <x v="17"/>
      <x v="47"/>
    </i>
    <i r="1">
      <x v="18"/>
      <x v="43"/>
    </i>
    <i r="2">
      <x v="51"/>
    </i>
    <i t="blank">
      <x v="36"/>
    </i>
    <i>
      <x v="37"/>
    </i>
    <i r="1">
      <x/>
      <x v="36"/>
    </i>
    <i r="1">
      <x v="1"/>
      <x v="40"/>
    </i>
    <i r="1">
      <x v="2"/>
      <x v="42"/>
    </i>
    <i r="1">
      <x v="3"/>
      <x v="45"/>
    </i>
    <i r="1">
      <x v="4"/>
      <x v="46"/>
    </i>
    <i r="1">
      <x v="5"/>
      <x v="37"/>
    </i>
    <i r="1">
      <x v="6"/>
      <x v="33"/>
    </i>
    <i r="1">
      <x v="7"/>
      <x/>
    </i>
    <i r="1">
      <x v="8"/>
      <x v="31"/>
    </i>
    <i r="1">
      <x v="9"/>
      <x v="28"/>
    </i>
    <i r="1">
      <x v="10"/>
      <x v="1"/>
    </i>
    <i r="2">
      <x v="2"/>
    </i>
    <i r="1">
      <x v="12"/>
      <x v="35"/>
    </i>
    <i r="1">
      <x v="13"/>
      <x v="38"/>
    </i>
    <i r="1">
      <x v="14"/>
      <x v="30"/>
    </i>
    <i r="1">
      <x v="15"/>
      <x v="29"/>
    </i>
    <i r="1">
      <x v="16"/>
      <x v="32"/>
    </i>
    <i r="1">
      <x v="17"/>
      <x v="27"/>
    </i>
    <i r="1">
      <x v="18"/>
      <x v="51"/>
    </i>
    <i r="1">
      <x v="19"/>
      <x v="47"/>
    </i>
    <i t="blank">
      <x v="37"/>
    </i>
    <i>
      <x v="38"/>
    </i>
    <i r="1">
      <x/>
      <x v="36"/>
    </i>
    <i r="1">
      <x v="1"/>
      <x v="40"/>
    </i>
    <i r="1">
      <x v="2"/>
      <x v="42"/>
    </i>
    <i r="1">
      <x v="3"/>
      <x v="4"/>
    </i>
    <i r="1">
      <x v="4"/>
      <x v="33"/>
    </i>
    <i r="1">
      <x v="5"/>
      <x v="45"/>
    </i>
    <i r="1">
      <x v="6"/>
      <x v="46"/>
    </i>
    <i r="1">
      <x v="7"/>
      <x/>
    </i>
    <i r="1">
      <x v="8"/>
      <x v="31"/>
    </i>
    <i r="1">
      <x v="9"/>
      <x v="2"/>
    </i>
    <i r="1">
      <x v="10"/>
      <x v="32"/>
    </i>
    <i r="2">
      <x v="37"/>
    </i>
    <i r="1">
      <x v="12"/>
      <x v="1"/>
    </i>
    <i r="1">
      <x v="13"/>
      <x v="30"/>
    </i>
    <i r="1">
      <x v="14"/>
      <x v="51"/>
    </i>
    <i r="1">
      <x v="15"/>
      <x v="27"/>
    </i>
    <i r="1">
      <x v="16"/>
      <x v="35"/>
    </i>
    <i r="1">
      <x v="17"/>
      <x v="49"/>
    </i>
    <i r="1">
      <x v="18"/>
      <x v="25"/>
    </i>
    <i r="1">
      <x v="19"/>
      <x v="14"/>
    </i>
    <i r="2">
      <x v="28"/>
    </i>
    <i t="blank">
      <x v="38"/>
    </i>
    <i>
      <x v="39"/>
    </i>
    <i r="1">
      <x/>
      <x v="42"/>
    </i>
    <i r="1">
      <x v="1"/>
      <x v="40"/>
    </i>
    <i r="1">
      <x v="2"/>
      <x v="36"/>
    </i>
    <i r="1">
      <x v="3"/>
      <x/>
    </i>
    <i r="1">
      <x v="4"/>
      <x v="33"/>
    </i>
    <i r="1">
      <x v="5"/>
      <x v="46"/>
    </i>
    <i r="1">
      <x v="6"/>
      <x v="45"/>
    </i>
    <i r="1">
      <x v="7"/>
      <x v="31"/>
    </i>
    <i r="1">
      <x v="8"/>
      <x v="37"/>
    </i>
    <i r="1">
      <x v="9"/>
      <x v="1"/>
    </i>
    <i r="1">
      <x v="10"/>
      <x v="32"/>
    </i>
    <i r="1">
      <x v="11"/>
      <x v="2"/>
    </i>
    <i r="1">
      <x v="12"/>
      <x v="30"/>
    </i>
    <i r="1">
      <x v="13"/>
      <x v="43"/>
    </i>
    <i r="1">
      <x v="14"/>
      <x v="35"/>
    </i>
    <i r="1">
      <x v="15"/>
      <x v="47"/>
    </i>
    <i r="1">
      <x v="16"/>
      <x v="38"/>
    </i>
    <i r="1">
      <x v="17"/>
      <x v="28"/>
    </i>
    <i r="1">
      <x v="18"/>
      <x v="27"/>
    </i>
    <i r="2">
      <x v="51"/>
    </i>
    <i t="blank">
      <x v="39"/>
    </i>
    <i>
      <x v="40"/>
    </i>
    <i r="1">
      <x/>
      <x v="36"/>
    </i>
    <i r="1">
      <x v="1"/>
      <x v="40"/>
    </i>
    <i r="1">
      <x v="2"/>
      <x v="42"/>
    </i>
    <i r="1">
      <x v="3"/>
      <x/>
    </i>
    <i r="1">
      <x v="4"/>
      <x v="33"/>
    </i>
    <i r="1">
      <x v="5"/>
      <x v="31"/>
    </i>
    <i r="1">
      <x v="6"/>
      <x v="45"/>
    </i>
    <i r="1">
      <x v="7"/>
      <x v="1"/>
    </i>
    <i r="1">
      <x v="8"/>
      <x v="14"/>
    </i>
    <i r="1">
      <x v="9"/>
      <x v="46"/>
    </i>
    <i r="1">
      <x v="10"/>
      <x v="2"/>
    </i>
    <i r="2">
      <x v="32"/>
    </i>
    <i r="1">
      <x v="12"/>
      <x v="4"/>
    </i>
    <i r="1">
      <x v="13"/>
      <x v="49"/>
    </i>
    <i r="1">
      <x v="14"/>
      <x v="43"/>
    </i>
    <i r="1">
      <x v="15"/>
      <x v="30"/>
    </i>
    <i r="1">
      <x v="16"/>
      <x v="37"/>
    </i>
    <i r="1">
      <x v="17"/>
      <x v="29"/>
    </i>
    <i r="2">
      <x v="47"/>
    </i>
    <i r="1">
      <x v="19"/>
      <x v="38"/>
    </i>
    <i t="blank">
      <x v="40"/>
    </i>
    <i>
      <x v="41"/>
    </i>
    <i r="1">
      <x/>
      <x v="40"/>
    </i>
    <i r="1">
      <x v="1"/>
      <x v="42"/>
    </i>
    <i r="1">
      <x v="2"/>
      <x v="36"/>
    </i>
    <i r="1">
      <x v="3"/>
      <x v="33"/>
    </i>
    <i r="1">
      <x v="4"/>
      <x/>
    </i>
    <i r="1">
      <x v="5"/>
      <x v="1"/>
    </i>
    <i r="1">
      <x v="6"/>
      <x v="2"/>
    </i>
    <i r="1">
      <x v="7"/>
      <x v="31"/>
    </i>
    <i r="1">
      <x v="8"/>
      <x v="46"/>
    </i>
    <i r="1">
      <x v="9"/>
      <x v="14"/>
    </i>
    <i r="1">
      <x v="10"/>
      <x v="32"/>
    </i>
    <i r="1">
      <x v="11"/>
      <x v="45"/>
    </i>
    <i r="1">
      <x v="12"/>
      <x v="16"/>
    </i>
    <i r="1">
      <x v="13"/>
      <x v="4"/>
    </i>
    <i r="1">
      <x v="14"/>
      <x v="30"/>
    </i>
    <i r="1">
      <x v="15"/>
      <x v="37"/>
    </i>
    <i r="1">
      <x v="16"/>
      <x v="8"/>
    </i>
    <i r="1">
      <x v="17"/>
      <x v="35"/>
    </i>
    <i r="1">
      <x v="18"/>
      <x v="28"/>
    </i>
    <i r="1">
      <x v="19"/>
      <x v="29"/>
    </i>
    <i t="blank">
      <x v="41"/>
    </i>
    <i>
      <x v="42"/>
    </i>
    <i r="1">
      <x/>
      <x v="42"/>
    </i>
    <i r="1">
      <x v="1"/>
      <x v="40"/>
    </i>
    <i r="1">
      <x v="2"/>
      <x v="36"/>
    </i>
    <i r="1">
      <x v="3"/>
      <x/>
    </i>
    <i r="1">
      <x v="4"/>
      <x v="33"/>
    </i>
    <i r="1">
      <x v="5"/>
      <x v="46"/>
    </i>
    <i r="1">
      <x v="6"/>
      <x v="45"/>
    </i>
    <i r="1">
      <x v="7"/>
      <x v="31"/>
    </i>
    <i r="2">
      <x v="37"/>
    </i>
    <i r="1">
      <x v="9"/>
      <x v="2"/>
    </i>
    <i r="1">
      <x v="10"/>
      <x v="1"/>
    </i>
    <i r="1">
      <x v="11"/>
      <x v="32"/>
    </i>
    <i r="1">
      <x v="12"/>
      <x v="30"/>
    </i>
    <i r="1">
      <x v="13"/>
      <x v="35"/>
    </i>
    <i r="1">
      <x v="14"/>
      <x v="38"/>
    </i>
    <i r="1">
      <x v="15"/>
      <x v="47"/>
    </i>
    <i r="1">
      <x v="16"/>
      <x v="43"/>
    </i>
    <i r="1">
      <x v="17"/>
      <x v="28"/>
    </i>
    <i r="1">
      <x v="18"/>
      <x v="27"/>
    </i>
    <i r="1">
      <x v="19"/>
      <x v="29"/>
    </i>
    <i r="2">
      <x v="51"/>
    </i>
    <i t="blank">
      <x v="42"/>
    </i>
    <i>
      <x v="43"/>
    </i>
    <i r="1">
      <x/>
      <x v="36"/>
    </i>
    <i r="1">
      <x v="1"/>
      <x v="40"/>
    </i>
    <i r="1">
      <x v="2"/>
      <x v="42"/>
    </i>
    <i r="1">
      <x v="3"/>
      <x/>
    </i>
    <i r="1">
      <x v="4"/>
      <x v="45"/>
    </i>
    <i r="1">
      <x v="5"/>
      <x v="33"/>
    </i>
    <i r="1">
      <x v="6"/>
      <x v="46"/>
    </i>
    <i r="1">
      <x v="7"/>
      <x v="31"/>
    </i>
    <i r="1">
      <x v="8"/>
      <x v="1"/>
    </i>
    <i r="1">
      <x v="9"/>
      <x v="32"/>
    </i>
    <i r="1">
      <x v="10"/>
      <x v="37"/>
    </i>
    <i r="1">
      <x v="11"/>
      <x v="2"/>
    </i>
    <i r="1">
      <x v="12"/>
      <x v="35"/>
    </i>
    <i r="1">
      <x v="13"/>
      <x v="30"/>
    </i>
    <i r="1">
      <x v="14"/>
      <x v="47"/>
    </i>
    <i r="1">
      <x v="15"/>
      <x v="38"/>
    </i>
    <i r="1">
      <x v="16"/>
      <x v="28"/>
    </i>
    <i r="1">
      <x v="17"/>
      <x v="29"/>
    </i>
    <i r="1">
      <x v="18"/>
      <x v="26"/>
    </i>
    <i r="2">
      <x v="51"/>
    </i>
    <i t="blank">
      <x v="43"/>
    </i>
    <i>
      <x v="44"/>
    </i>
    <i r="1">
      <x/>
      <x v="36"/>
    </i>
    <i r="1">
      <x v="1"/>
      <x v="40"/>
    </i>
    <i r="1">
      <x v="2"/>
      <x v="14"/>
    </i>
    <i r="1">
      <x v="3"/>
      <x v="42"/>
    </i>
    <i r="1">
      <x v="4"/>
      <x v="33"/>
    </i>
    <i r="1">
      <x v="5"/>
      <x/>
    </i>
    <i r="1">
      <x v="6"/>
      <x v="16"/>
    </i>
    <i r="1">
      <x v="7"/>
      <x v="46"/>
    </i>
    <i r="1">
      <x v="8"/>
      <x v="31"/>
    </i>
    <i r="1">
      <x v="9"/>
      <x v="9"/>
    </i>
    <i r="1">
      <x v="10"/>
      <x v="45"/>
    </i>
    <i r="1">
      <x v="11"/>
      <x v="1"/>
    </i>
    <i r="1">
      <x v="12"/>
      <x v="2"/>
    </i>
    <i r="1">
      <x v="13"/>
      <x v="6"/>
    </i>
    <i r="1">
      <x v="14"/>
      <x v="32"/>
    </i>
    <i r="1">
      <x v="15"/>
      <x v="27"/>
    </i>
    <i r="1">
      <x v="16"/>
      <x v="15"/>
    </i>
    <i r="1">
      <x v="17"/>
      <x v="30"/>
    </i>
    <i r="1">
      <x v="18"/>
      <x v="37"/>
    </i>
    <i r="1">
      <x v="19"/>
      <x v="18"/>
    </i>
    <i t="blank">
      <x v="44"/>
    </i>
    <i>
      <x v="45"/>
    </i>
    <i r="1">
      <x/>
      <x v="40"/>
    </i>
    <i r="1">
      <x v="1"/>
      <x v="42"/>
    </i>
    <i r="1">
      <x v="2"/>
      <x v="36"/>
    </i>
    <i r="1">
      <x v="3"/>
      <x v="4"/>
    </i>
    <i r="1">
      <x v="4"/>
      <x v="33"/>
    </i>
    <i r="1">
      <x v="5"/>
      <x/>
    </i>
    <i r="1">
      <x v="6"/>
      <x v="31"/>
    </i>
    <i r="1">
      <x v="7"/>
      <x v="30"/>
    </i>
    <i r="1">
      <x v="8"/>
      <x v="46"/>
    </i>
    <i r="1">
      <x v="9"/>
      <x v="45"/>
    </i>
    <i r="1">
      <x v="10"/>
      <x v="2"/>
    </i>
    <i r="2">
      <x v="32"/>
    </i>
    <i r="1">
      <x v="12"/>
      <x v="37"/>
    </i>
    <i r="1">
      <x v="13"/>
      <x v="1"/>
    </i>
    <i r="1">
      <x v="14"/>
      <x v="43"/>
    </i>
    <i r="1">
      <x v="15"/>
      <x v="47"/>
    </i>
    <i r="1">
      <x v="16"/>
      <x v="27"/>
    </i>
    <i r="1">
      <x v="17"/>
      <x v="14"/>
    </i>
    <i r="2">
      <x v="35"/>
    </i>
    <i r="1">
      <x v="19"/>
      <x v="29"/>
    </i>
    <i r="2">
      <x v="49"/>
    </i>
    <i t="blank">
      <x v="45"/>
    </i>
    <i>
      <x v="46"/>
    </i>
    <i r="1">
      <x/>
      <x v="36"/>
    </i>
    <i r="1">
      <x v="1"/>
      <x v="42"/>
    </i>
    <i r="1">
      <x v="2"/>
      <x v="40"/>
    </i>
    <i r="1">
      <x v="3"/>
      <x v="33"/>
    </i>
    <i r="1">
      <x v="4"/>
      <x/>
    </i>
    <i r="1">
      <x v="5"/>
      <x v="45"/>
    </i>
    <i r="1">
      <x v="6"/>
      <x v="46"/>
    </i>
    <i r="1">
      <x v="7"/>
      <x v="31"/>
    </i>
    <i r="1">
      <x v="8"/>
      <x v="32"/>
    </i>
    <i r="1">
      <x v="9"/>
      <x v="14"/>
    </i>
    <i r="1">
      <x v="10"/>
      <x v="1"/>
    </i>
    <i r="2">
      <x v="2"/>
    </i>
    <i r="1">
      <x v="12"/>
      <x v="30"/>
    </i>
    <i r="1">
      <x v="13"/>
      <x v="37"/>
    </i>
    <i r="1">
      <x v="14"/>
      <x v="47"/>
    </i>
    <i r="1">
      <x v="15"/>
      <x v="38"/>
    </i>
    <i r="1">
      <x v="16"/>
      <x v="29"/>
    </i>
    <i r="1">
      <x v="17"/>
      <x v="16"/>
    </i>
    <i r="2">
      <x v="35"/>
    </i>
    <i r="1">
      <x v="19"/>
      <x v="43"/>
    </i>
    <i t="blank">
      <x v="46"/>
    </i>
    <i>
      <x v="47"/>
    </i>
    <i r="1">
      <x/>
      <x v="40"/>
    </i>
    <i r="1">
      <x v="1"/>
      <x v="36"/>
    </i>
    <i r="1">
      <x v="2"/>
      <x v="42"/>
    </i>
    <i r="1">
      <x v="3"/>
      <x v="33"/>
    </i>
    <i r="1">
      <x v="4"/>
      <x/>
    </i>
    <i r="1">
      <x v="5"/>
      <x v="1"/>
    </i>
    <i r="1">
      <x v="6"/>
      <x v="2"/>
    </i>
    <i r="2">
      <x v="31"/>
    </i>
    <i r="1">
      <x v="8"/>
      <x v="46"/>
    </i>
    <i r="1">
      <x v="9"/>
      <x v="45"/>
    </i>
    <i r="1">
      <x v="10"/>
      <x v="32"/>
    </i>
    <i r="1">
      <x v="11"/>
      <x v="30"/>
    </i>
    <i r="1">
      <x v="12"/>
      <x v="47"/>
    </i>
    <i r="1">
      <x v="13"/>
      <x v="35"/>
    </i>
    <i r="1">
      <x v="14"/>
      <x v="38"/>
    </i>
    <i r="1">
      <x v="15"/>
      <x v="37"/>
    </i>
    <i r="1">
      <x v="16"/>
      <x v="43"/>
    </i>
    <i r="1">
      <x v="17"/>
      <x v="28"/>
    </i>
    <i r="1">
      <x v="18"/>
      <x v="14"/>
    </i>
    <i r="1">
      <x v="19"/>
      <x v="16"/>
    </i>
    <i t="blank">
      <x v="47"/>
    </i>
    <i>
      <x v="48"/>
    </i>
    <i r="1">
      <x/>
      <x v="36"/>
    </i>
    <i r="1">
      <x v="1"/>
      <x v="42"/>
    </i>
    <i r="1">
      <x v="2"/>
      <x v="40"/>
    </i>
    <i r="1">
      <x v="3"/>
      <x v="33"/>
    </i>
    <i r="1">
      <x v="4"/>
      <x/>
    </i>
    <i r="1">
      <x v="5"/>
      <x v="45"/>
    </i>
    <i r="1">
      <x v="6"/>
      <x v="31"/>
    </i>
    <i r="1">
      <x v="7"/>
      <x v="46"/>
    </i>
    <i r="1">
      <x v="8"/>
      <x v="32"/>
    </i>
    <i r="1">
      <x v="9"/>
      <x v="37"/>
    </i>
    <i r="1">
      <x v="10"/>
      <x v="1"/>
    </i>
    <i r="1">
      <x v="11"/>
      <x v="2"/>
    </i>
    <i r="1">
      <x v="12"/>
      <x v="30"/>
    </i>
    <i r="1">
      <x v="13"/>
      <x v="38"/>
    </i>
    <i r="1">
      <x v="14"/>
      <x v="43"/>
    </i>
    <i r="1">
      <x v="15"/>
      <x v="47"/>
    </i>
    <i r="1">
      <x v="16"/>
      <x v="29"/>
    </i>
    <i r="1">
      <x v="17"/>
      <x v="28"/>
    </i>
    <i r="1">
      <x v="18"/>
      <x v="35"/>
    </i>
    <i r="1">
      <x v="19"/>
      <x v="34"/>
    </i>
    <i r="2">
      <x v="50"/>
    </i>
    <i r="2">
      <x v="51"/>
    </i>
    <i t="blank">
      <x v="48"/>
    </i>
    <i>
      <x v="49"/>
    </i>
    <i r="1">
      <x/>
      <x v="36"/>
    </i>
    <i r="1">
      <x v="1"/>
      <x v="40"/>
    </i>
    <i r="1">
      <x v="2"/>
      <x v="42"/>
    </i>
    <i r="1">
      <x v="3"/>
      <x v="33"/>
    </i>
    <i r="1">
      <x v="4"/>
      <x/>
    </i>
    <i r="2">
      <x v="1"/>
    </i>
    <i r="1">
      <x v="6"/>
      <x v="2"/>
    </i>
    <i r="1">
      <x v="7"/>
      <x v="14"/>
    </i>
    <i r="1">
      <x v="8"/>
      <x v="46"/>
    </i>
    <i r="1">
      <x v="9"/>
      <x v="32"/>
    </i>
    <i r="1">
      <x v="10"/>
      <x v="31"/>
    </i>
    <i r="1">
      <x v="11"/>
      <x v="45"/>
    </i>
    <i r="1">
      <x v="12"/>
      <x v="47"/>
    </i>
    <i r="1">
      <x v="13"/>
      <x v="18"/>
    </i>
    <i r="1">
      <x v="14"/>
      <x v="30"/>
    </i>
    <i r="2">
      <x v="35"/>
    </i>
    <i r="1">
      <x v="16"/>
      <x v="9"/>
    </i>
    <i r="2">
      <x v="37"/>
    </i>
    <i r="1">
      <x v="18"/>
      <x v="27"/>
    </i>
    <i r="1">
      <x v="19"/>
      <x v="6"/>
    </i>
    <i t="blank">
      <x v="49"/>
    </i>
    <i>
      <x v="50"/>
    </i>
    <i r="1">
      <x/>
      <x v="36"/>
    </i>
    <i r="1">
      <x v="1"/>
      <x v="40"/>
    </i>
    <i r="1">
      <x v="2"/>
      <x v="42"/>
    </i>
    <i r="1">
      <x v="3"/>
      <x/>
    </i>
    <i r="1">
      <x v="4"/>
      <x v="33"/>
    </i>
    <i r="1">
      <x v="5"/>
      <x v="14"/>
    </i>
    <i r="1">
      <x v="6"/>
      <x v="1"/>
    </i>
    <i r="1">
      <x v="7"/>
      <x v="2"/>
    </i>
    <i r="1">
      <x v="8"/>
      <x v="46"/>
    </i>
    <i r="1">
      <x v="9"/>
      <x v="16"/>
    </i>
    <i r="1">
      <x v="10"/>
      <x v="31"/>
    </i>
    <i r="1">
      <x v="11"/>
      <x v="32"/>
    </i>
    <i r="1">
      <x v="12"/>
      <x v="45"/>
    </i>
    <i r="1">
      <x v="13"/>
      <x v="15"/>
    </i>
    <i r="1">
      <x v="14"/>
      <x v="35"/>
    </i>
    <i r="1">
      <x v="15"/>
      <x v="30"/>
    </i>
    <i r="1">
      <x v="16"/>
      <x v="27"/>
    </i>
    <i r="1">
      <x v="17"/>
      <x v="43"/>
    </i>
    <i r="1">
      <x v="18"/>
      <x v="37"/>
    </i>
    <i r="1">
      <x v="19"/>
      <x v="49"/>
    </i>
    <i t="blank">
      <x v="50"/>
    </i>
    <i>
      <x v="51"/>
    </i>
    <i r="1">
      <x/>
      <x v="36"/>
    </i>
    <i r="1">
      <x v="1"/>
      <x v="40"/>
    </i>
    <i r="2">
      <x v="42"/>
    </i>
    <i r="1">
      <x v="3"/>
      <x v="33"/>
    </i>
    <i r="1">
      <x v="4"/>
      <x/>
    </i>
    <i r="1">
      <x v="5"/>
      <x v="4"/>
    </i>
    <i r="1">
      <x v="6"/>
      <x v="45"/>
    </i>
    <i r="1">
      <x v="7"/>
      <x v="46"/>
    </i>
    <i r="1">
      <x v="8"/>
      <x v="2"/>
    </i>
    <i r="1">
      <x v="9"/>
      <x v="32"/>
    </i>
    <i r="1">
      <x v="10"/>
      <x v="31"/>
    </i>
    <i r="1">
      <x v="11"/>
      <x v="1"/>
    </i>
    <i r="1">
      <x v="12"/>
      <x v="37"/>
    </i>
    <i r="1">
      <x v="13"/>
      <x v="30"/>
    </i>
    <i r="1">
      <x v="14"/>
      <x v="49"/>
    </i>
    <i r="1">
      <x v="15"/>
      <x v="14"/>
    </i>
    <i r="1">
      <x v="16"/>
      <x v="29"/>
    </i>
    <i r="1">
      <x v="17"/>
      <x v="35"/>
    </i>
    <i r="1">
      <x v="18"/>
      <x v="47"/>
    </i>
    <i r="1">
      <x v="19"/>
      <x v="43"/>
    </i>
    <i t="blank">
      <x v="51"/>
    </i>
    <i>
      <x v="52"/>
    </i>
    <i r="1">
      <x/>
      <x v="36"/>
    </i>
    <i r="1">
      <x v="1"/>
      <x v="42"/>
    </i>
    <i r="1">
      <x v="2"/>
      <x v="40"/>
    </i>
    <i r="1">
      <x v="3"/>
      <x/>
    </i>
    <i r="2">
      <x v="33"/>
    </i>
    <i r="1">
      <x v="5"/>
      <x v="46"/>
    </i>
    <i r="1">
      <x v="6"/>
      <x v="31"/>
    </i>
    <i r="1">
      <x v="7"/>
      <x v="1"/>
    </i>
    <i r="1">
      <x v="8"/>
      <x v="37"/>
    </i>
    <i r="1">
      <x v="9"/>
      <x v="45"/>
    </i>
    <i r="1">
      <x v="10"/>
      <x v="2"/>
    </i>
    <i r="2">
      <x v="32"/>
    </i>
    <i r="1">
      <x v="12"/>
      <x v="30"/>
    </i>
    <i r="1">
      <x v="13"/>
      <x v="35"/>
    </i>
    <i r="1">
      <x v="14"/>
      <x v="29"/>
    </i>
    <i r="2">
      <x v="38"/>
    </i>
    <i r="1">
      <x v="16"/>
      <x v="34"/>
    </i>
    <i r="1">
      <x v="17"/>
      <x v="27"/>
    </i>
    <i r="1">
      <x v="18"/>
      <x v="28"/>
    </i>
    <i r="2">
      <x v="47"/>
    </i>
    <i t="blank">
      <x v="52"/>
    </i>
    <i>
      <x v="53"/>
    </i>
    <i r="1">
      <x/>
      <x v="36"/>
    </i>
    <i r="1">
      <x v="1"/>
      <x v="42"/>
    </i>
    <i r="1">
      <x v="2"/>
      <x v="40"/>
    </i>
    <i r="1">
      <x v="3"/>
      <x v="33"/>
    </i>
    <i r="1">
      <x v="4"/>
      <x/>
    </i>
    <i r="1">
      <x v="5"/>
      <x v="31"/>
    </i>
    <i r="1">
      <x v="6"/>
      <x v="46"/>
    </i>
    <i r="1">
      <x v="7"/>
      <x v="1"/>
    </i>
    <i r="1">
      <x v="8"/>
      <x v="45"/>
    </i>
    <i r="1">
      <x v="9"/>
      <x v="43"/>
    </i>
    <i r="1">
      <x v="10"/>
      <x v="2"/>
    </i>
    <i r="1">
      <x v="11"/>
      <x v="47"/>
    </i>
    <i r="1">
      <x v="12"/>
      <x v="14"/>
    </i>
    <i r="2">
      <x v="32"/>
    </i>
    <i r="1">
      <x v="14"/>
      <x v="30"/>
    </i>
    <i r="1">
      <x v="15"/>
      <x v="9"/>
    </i>
    <i r="1">
      <x v="16"/>
      <x v="37"/>
    </i>
    <i r="1">
      <x v="17"/>
      <x v="16"/>
    </i>
    <i r="2">
      <x v="35"/>
    </i>
    <i r="1">
      <x v="19"/>
      <x v="15"/>
    </i>
    <i r="2">
      <x v="27"/>
    </i>
    <i t="blank">
      <x v="53"/>
    </i>
    <i>
      <x v="54"/>
    </i>
    <i r="1">
      <x/>
      <x v="36"/>
    </i>
    <i r="1">
      <x v="1"/>
      <x v="40"/>
    </i>
    <i r="1">
      <x v="2"/>
      <x v="42"/>
    </i>
    <i r="1">
      <x v="3"/>
      <x/>
    </i>
    <i r="1">
      <x v="4"/>
      <x v="33"/>
    </i>
    <i r="1">
      <x v="5"/>
      <x v="31"/>
    </i>
    <i r="1">
      <x v="6"/>
      <x v="1"/>
    </i>
    <i r="1">
      <x v="7"/>
      <x v="45"/>
    </i>
    <i r="1">
      <x v="8"/>
      <x v="2"/>
    </i>
    <i r="1">
      <x v="9"/>
      <x v="46"/>
    </i>
    <i r="1">
      <x v="10"/>
      <x v="14"/>
    </i>
    <i r="1">
      <x v="11"/>
      <x v="32"/>
    </i>
    <i r="1">
      <x v="12"/>
      <x v="37"/>
    </i>
    <i r="1">
      <x v="13"/>
      <x v="47"/>
    </i>
    <i r="1">
      <x v="14"/>
      <x v="35"/>
    </i>
    <i r="1">
      <x v="15"/>
      <x v="16"/>
    </i>
    <i r="1">
      <x v="16"/>
      <x v="29"/>
    </i>
    <i r="1">
      <x v="17"/>
      <x v="27"/>
    </i>
    <i r="2">
      <x v="38"/>
    </i>
    <i r="2">
      <x v="43"/>
    </i>
    <i t="blank">
      <x v="54"/>
    </i>
    <i>
      <x v="55"/>
    </i>
    <i r="1">
      <x/>
      <x v="40"/>
    </i>
    <i r="1">
      <x v="1"/>
      <x v="36"/>
    </i>
    <i r="1">
      <x v="2"/>
      <x v="42"/>
    </i>
    <i r="1">
      <x v="3"/>
      <x v="33"/>
    </i>
    <i r="1">
      <x v="4"/>
      <x v="1"/>
    </i>
    <i r="1">
      <x v="5"/>
      <x v="2"/>
    </i>
    <i r="1">
      <x v="6"/>
      <x/>
    </i>
    <i r="1">
      <x v="7"/>
      <x v="46"/>
    </i>
    <i r="1">
      <x v="8"/>
      <x v="14"/>
    </i>
    <i r="1">
      <x v="9"/>
      <x v="31"/>
    </i>
    <i r="1">
      <x v="10"/>
      <x v="32"/>
    </i>
    <i r="1">
      <x v="11"/>
      <x v="35"/>
    </i>
    <i r="1">
      <x v="12"/>
      <x v="47"/>
    </i>
    <i r="1">
      <x v="13"/>
      <x v="45"/>
    </i>
    <i r="1">
      <x v="14"/>
      <x v="16"/>
    </i>
    <i r="1">
      <x v="15"/>
      <x v="49"/>
    </i>
    <i r="1">
      <x v="16"/>
      <x v="30"/>
    </i>
    <i r="1">
      <x v="17"/>
      <x v="43"/>
    </i>
    <i r="1">
      <x v="18"/>
      <x v="29"/>
    </i>
    <i r="1">
      <x v="19"/>
      <x v="9"/>
    </i>
    <i r="2">
      <x v="15"/>
    </i>
    <i r="2">
      <x v="37"/>
    </i>
    <i r="2">
      <x v="41"/>
    </i>
    <i t="blank">
      <x v="55"/>
    </i>
    <i>
      <x v="56"/>
    </i>
    <i r="1">
      <x/>
      <x v="36"/>
    </i>
    <i r="1">
      <x v="1"/>
      <x v="40"/>
    </i>
    <i r="1">
      <x v="2"/>
      <x v="42"/>
    </i>
    <i r="1">
      <x v="3"/>
      <x v="2"/>
    </i>
    <i r="1">
      <x v="4"/>
      <x v="1"/>
    </i>
    <i r="1">
      <x v="5"/>
      <x/>
    </i>
    <i r="1">
      <x v="6"/>
      <x v="14"/>
    </i>
    <i r="1">
      <x v="7"/>
      <x v="33"/>
    </i>
    <i r="1">
      <x v="8"/>
      <x v="32"/>
    </i>
    <i r="1">
      <x v="9"/>
      <x v="16"/>
    </i>
    <i r="1">
      <x v="10"/>
      <x v="49"/>
    </i>
    <i r="1">
      <x v="11"/>
      <x v="46"/>
    </i>
    <i r="1">
      <x v="12"/>
      <x v="45"/>
    </i>
    <i r="1">
      <x v="13"/>
      <x v="27"/>
    </i>
    <i r="1">
      <x v="14"/>
      <x v="9"/>
    </i>
    <i r="1">
      <x v="15"/>
      <x v="28"/>
    </i>
    <i r="1">
      <x v="16"/>
      <x v="31"/>
    </i>
    <i r="1">
      <x v="17"/>
      <x v="35"/>
    </i>
    <i r="1">
      <x v="18"/>
      <x v="17"/>
    </i>
    <i r="1">
      <x v="19"/>
      <x v="37"/>
    </i>
    <i t="blank">
      <x v="56"/>
    </i>
    <i>
      <x v="57"/>
    </i>
    <i r="1">
      <x/>
      <x v="42"/>
    </i>
    <i r="1">
      <x v="1"/>
      <x v="40"/>
    </i>
    <i r="1">
      <x v="2"/>
      <x v="36"/>
    </i>
    <i r="1">
      <x v="3"/>
      <x v="45"/>
    </i>
    <i r="1">
      <x v="4"/>
      <x/>
    </i>
    <i r="1">
      <x v="5"/>
      <x v="2"/>
    </i>
    <i r="2">
      <x v="33"/>
    </i>
    <i r="1">
      <x v="7"/>
      <x v="46"/>
    </i>
    <i r="1">
      <x v="8"/>
      <x v="31"/>
    </i>
    <i r="1">
      <x v="9"/>
      <x v="32"/>
    </i>
    <i r="1">
      <x v="10"/>
      <x v="37"/>
    </i>
    <i r="1">
      <x v="11"/>
      <x v="1"/>
    </i>
    <i r="1">
      <x v="12"/>
      <x v="30"/>
    </i>
    <i r="1">
      <x v="13"/>
      <x v="35"/>
    </i>
    <i r="2">
      <x v="43"/>
    </i>
    <i r="1">
      <x v="15"/>
      <x v="49"/>
    </i>
    <i r="1">
      <x v="16"/>
      <x v="38"/>
    </i>
    <i r="1">
      <x v="17"/>
      <x v="29"/>
    </i>
    <i r="1">
      <x v="18"/>
      <x v="27"/>
    </i>
    <i r="1">
      <x v="19"/>
      <x v="28"/>
    </i>
    <i r="2">
      <x v="41"/>
    </i>
    <i t="blank">
      <x v="57"/>
    </i>
    <i>
      <x v="58"/>
    </i>
    <i r="1">
      <x/>
      <x v="36"/>
    </i>
    <i r="1">
      <x v="1"/>
      <x v="40"/>
    </i>
    <i r="1">
      <x v="2"/>
      <x v="42"/>
    </i>
    <i r="1">
      <x v="3"/>
      <x v="33"/>
    </i>
    <i r="1">
      <x v="4"/>
      <x/>
    </i>
    <i r="1">
      <x v="5"/>
      <x v="31"/>
    </i>
    <i r="1">
      <x v="6"/>
      <x v="46"/>
    </i>
    <i r="1">
      <x v="7"/>
      <x v="45"/>
    </i>
    <i r="1">
      <x v="8"/>
      <x v="30"/>
    </i>
    <i r="1">
      <x v="9"/>
      <x v="2"/>
    </i>
    <i r="1">
      <x v="10"/>
      <x v="32"/>
    </i>
    <i r="1">
      <x v="11"/>
      <x v="35"/>
    </i>
    <i r="1">
      <x v="12"/>
      <x v="1"/>
    </i>
    <i r="2">
      <x v="37"/>
    </i>
    <i r="1">
      <x v="14"/>
      <x v="14"/>
    </i>
    <i r="1">
      <x v="15"/>
      <x v="43"/>
    </i>
    <i r="1">
      <x v="16"/>
      <x v="9"/>
    </i>
    <i r="2">
      <x v="29"/>
    </i>
    <i r="1">
      <x v="18"/>
      <x v="47"/>
    </i>
    <i r="1">
      <x v="19"/>
      <x v="18"/>
    </i>
    <i r="2">
      <x v="27"/>
    </i>
    <i r="2">
      <x v="28"/>
    </i>
    <i r="2">
      <x v="41"/>
    </i>
    <i t="blank">
      <x v="58"/>
    </i>
    <i>
      <x v="59"/>
    </i>
    <i r="1">
      <x/>
      <x v="36"/>
    </i>
    <i r="1">
      <x v="1"/>
      <x v="40"/>
    </i>
    <i r="1">
      <x v="2"/>
      <x v="14"/>
    </i>
    <i r="1">
      <x v="3"/>
      <x v="42"/>
    </i>
    <i r="1">
      <x v="4"/>
      <x v="33"/>
    </i>
    <i r="1">
      <x v="5"/>
      <x v="16"/>
    </i>
    <i r="1">
      <x v="6"/>
      <x/>
    </i>
    <i r="1">
      <x v="7"/>
      <x v="1"/>
    </i>
    <i r="1">
      <x v="8"/>
      <x v="2"/>
    </i>
    <i r="1">
      <x v="9"/>
      <x v="31"/>
    </i>
    <i r="1">
      <x v="10"/>
      <x v="46"/>
    </i>
    <i r="1">
      <x v="11"/>
      <x v="9"/>
    </i>
    <i r="1">
      <x v="12"/>
      <x v="45"/>
    </i>
    <i r="1">
      <x v="13"/>
      <x v="28"/>
    </i>
    <i r="1">
      <x v="14"/>
      <x v="32"/>
    </i>
    <i r="1">
      <x v="15"/>
      <x v="29"/>
    </i>
    <i r="1">
      <x v="16"/>
      <x v="37"/>
    </i>
    <i r="1">
      <x v="17"/>
      <x v="30"/>
    </i>
    <i r="1">
      <x v="18"/>
      <x v="27"/>
    </i>
    <i r="1">
      <x v="19"/>
      <x v="8"/>
    </i>
    <i t="blank">
      <x v="59"/>
    </i>
    <i>
      <x v="60"/>
    </i>
    <i r="1">
      <x/>
      <x v="36"/>
    </i>
    <i r="1">
      <x v="1"/>
      <x v="42"/>
    </i>
    <i r="1">
      <x v="2"/>
      <x v="40"/>
    </i>
    <i r="1">
      <x v="3"/>
      <x v="33"/>
    </i>
    <i r="1">
      <x v="4"/>
      <x/>
    </i>
    <i r="1">
      <x v="5"/>
      <x v="31"/>
    </i>
    <i r="1">
      <x v="6"/>
      <x v="4"/>
    </i>
    <i r="1">
      <x v="7"/>
      <x v="45"/>
    </i>
    <i r="1">
      <x v="8"/>
      <x v="32"/>
    </i>
    <i r="1">
      <x v="9"/>
      <x v="2"/>
    </i>
    <i r="1">
      <x v="10"/>
      <x v="46"/>
    </i>
    <i r="1">
      <x v="11"/>
      <x v="1"/>
    </i>
    <i r="1">
      <x v="12"/>
      <x v="47"/>
    </i>
    <i r="1">
      <x v="13"/>
      <x v="30"/>
    </i>
    <i r="1">
      <x v="14"/>
      <x v="14"/>
    </i>
    <i r="1">
      <x v="15"/>
      <x v="43"/>
    </i>
    <i r="1">
      <x v="16"/>
      <x v="38"/>
    </i>
    <i r="1">
      <x v="17"/>
      <x v="24"/>
    </i>
    <i r="1">
      <x v="18"/>
      <x v="27"/>
    </i>
    <i r="1">
      <x v="19"/>
      <x v="37"/>
    </i>
    <i r="2">
      <x v="44"/>
    </i>
    <i r="2">
      <x v="49"/>
    </i>
    <i t="blank">
      <x v="60"/>
    </i>
    <i>
      <x v="61"/>
    </i>
    <i r="1">
      <x/>
      <x v="36"/>
    </i>
    <i r="1">
      <x v="1"/>
      <x v="40"/>
    </i>
    <i r="1">
      <x v="2"/>
      <x v="42"/>
    </i>
    <i r="1">
      <x v="3"/>
      <x/>
    </i>
    <i r="1">
      <x v="4"/>
      <x v="33"/>
    </i>
    <i r="1">
      <x v="5"/>
      <x v="45"/>
    </i>
    <i r="1">
      <x v="6"/>
      <x v="1"/>
    </i>
    <i r="1">
      <x v="7"/>
      <x v="31"/>
    </i>
    <i r="1">
      <x v="8"/>
      <x v="2"/>
    </i>
    <i r="1">
      <x v="9"/>
      <x v="30"/>
    </i>
    <i r="1">
      <x v="10"/>
      <x v="46"/>
    </i>
    <i r="1">
      <x v="11"/>
      <x v="32"/>
    </i>
    <i r="1">
      <x v="12"/>
      <x v="37"/>
    </i>
    <i r="1">
      <x v="13"/>
      <x v="47"/>
    </i>
    <i r="1">
      <x v="14"/>
      <x v="35"/>
    </i>
    <i r="2">
      <x v="51"/>
    </i>
    <i r="1">
      <x v="16"/>
      <x v="14"/>
    </i>
    <i r="2">
      <x v="28"/>
    </i>
    <i r="2">
      <x v="43"/>
    </i>
    <i r="1">
      <x v="19"/>
      <x v="38"/>
    </i>
    <i t="blank">
      <x v="61"/>
    </i>
    <i>
      <x v="62"/>
    </i>
    <i r="1">
      <x/>
      <x v="42"/>
    </i>
    <i r="1">
      <x v="1"/>
      <x v="40"/>
    </i>
    <i r="1">
      <x v="2"/>
      <x v="36"/>
    </i>
    <i r="1">
      <x v="3"/>
      <x v="45"/>
    </i>
    <i r="1">
      <x v="4"/>
      <x/>
    </i>
    <i r="1">
      <x v="5"/>
      <x v="33"/>
    </i>
    <i r="1">
      <x v="6"/>
      <x v="46"/>
    </i>
    <i r="1">
      <x v="7"/>
      <x v="1"/>
    </i>
    <i r="1">
      <x v="8"/>
      <x v="2"/>
    </i>
    <i r="1">
      <x v="9"/>
      <x v="32"/>
    </i>
    <i r="1">
      <x v="10"/>
      <x v="31"/>
    </i>
    <i r="1">
      <x v="11"/>
      <x v="37"/>
    </i>
    <i r="1">
      <x v="12"/>
      <x v="38"/>
    </i>
    <i r="1">
      <x v="13"/>
      <x v="35"/>
    </i>
    <i r="1">
      <x v="14"/>
      <x v="30"/>
    </i>
    <i r="1">
      <x v="15"/>
      <x v="47"/>
    </i>
    <i r="1">
      <x v="16"/>
      <x v="49"/>
    </i>
    <i r="1">
      <x v="17"/>
      <x v="16"/>
    </i>
    <i r="2">
      <x v="43"/>
    </i>
    <i r="1">
      <x v="19"/>
      <x v="34"/>
    </i>
    <i t="blank">
      <x v="62"/>
    </i>
    <i>
      <x v="63"/>
    </i>
    <i r="1">
      <x/>
      <x v="36"/>
    </i>
    <i r="1">
      <x v="1"/>
      <x v="42"/>
    </i>
    <i r="1">
      <x v="2"/>
      <x v="40"/>
    </i>
    <i r="1">
      <x v="3"/>
      <x/>
    </i>
    <i r="1">
      <x v="4"/>
      <x v="33"/>
    </i>
    <i r="1">
      <x v="5"/>
      <x v="45"/>
    </i>
    <i r="1">
      <x v="6"/>
      <x v="46"/>
    </i>
    <i r="1">
      <x v="7"/>
      <x v="32"/>
    </i>
    <i r="1">
      <x v="8"/>
      <x v="2"/>
    </i>
    <i r="1">
      <x v="9"/>
      <x v="1"/>
    </i>
    <i r="1">
      <x v="10"/>
      <x v="31"/>
    </i>
    <i r="1">
      <x v="11"/>
      <x v="37"/>
    </i>
    <i r="1">
      <x v="12"/>
      <x v="38"/>
    </i>
    <i r="2">
      <x v="47"/>
    </i>
    <i r="1">
      <x v="14"/>
      <x v="14"/>
    </i>
    <i r="2">
      <x v="29"/>
    </i>
    <i r="2">
      <x v="30"/>
    </i>
    <i r="1">
      <x v="17"/>
      <x v="35"/>
    </i>
    <i r="1">
      <x v="18"/>
      <x v="49"/>
    </i>
    <i r="1">
      <x v="19"/>
      <x v="34"/>
    </i>
    <i r="2">
      <x v="43"/>
    </i>
    <i t="blank">
      <x v="63"/>
    </i>
    <i>
      <x v="64"/>
    </i>
    <i r="1">
      <x/>
      <x v="42"/>
    </i>
    <i r="1">
      <x v="1"/>
      <x v="33"/>
    </i>
    <i r="2">
      <x v="36"/>
    </i>
    <i r="1">
      <x v="3"/>
      <x/>
    </i>
    <i r="2">
      <x v="40"/>
    </i>
    <i r="1">
      <x v="5"/>
      <x v="31"/>
    </i>
    <i r="1">
      <x v="6"/>
      <x v="45"/>
    </i>
    <i r="2">
      <x v="46"/>
    </i>
    <i r="1">
      <x v="8"/>
      <x v="2"/>
    </i>
    <i r="1">
      <x v="9"/>
      <x v="1"/>
    </i>
    <i r="1">
      <x v="10"/>
      <x v="32"/>
    </i>
    <i r="1">
      <x v="11"/>
      <x v="37"/>
    </i>
    <i r="1">
      <x v="12"/>
      <x v="4"/>
    </i>
    <i r="2">
      <x v="38"/>
    </i>
    <i r="1">
      <x v="14"/>
      <x v="43"/>
    </i>
    <i r="1">
      <x v="15"/>
      <x v="49"/>
    </i>
    <i r="1">
      <x v="16"/>
      <x v="30"/>
    </i>
    <i r="2">
      <x v="47"/>
    </i>
    <i r="1">
      <x v="18"/>
      <x v="44"/>
    </i>
    <i r="1">
      <x v="19"/>
      <x v="26"/>
    </i>
    <i t="blank">
      <x v="64"/>
    </i>
    <i>
      <x v="65"/>
    </i>
    <i r="1">
      <x/>
      <x v="42"/>
    </i>
    <i r="1">
      <x v="1"/>
      <x v="45"/>
    </i>
    <i r="1">
      <x v="2"/>
      <x/>
    </i>
    <i r="2">
      <x v="36"/>
    </i>
    <i r="1">
      <x v="4"/>
      <x v="40"/>
    </i>
    <i r="1">
      <x v="5"/>
      <x v="33"/>
    </i>
    <i r="1">
      <x v="6"/>
      <x v="31"/>
    </i>
    <i r="1">
      <x v="7"/>
      <x v="46"/>
    </i>
    <i r="1">
      <x v="8"/>
      <x v="2"/>
    </i>
    <i r="1">
      <x v="9"/>
      <x v="38"/>
    </i>
    <i r="1">
      <x v="10"/>
      <x v="47"/>
    </i>
    <i r="1">
      <x v="11"/>
      <x v="32"/>
    </i>
    <i r="1">
      <x v="12"/>
      <x v="1"/>
    </i>
    <i r="1">
      <x v="13"/>
      <x v="37"/>
    </i>
    <i r="1">
      <x v="14"/>
      <x v="30"/>
    </i>
    <i r="2">
      <x v="43"/>
    </i>
    <i r="1">
      <x v="16"/>
      <x v="19"/>
    </i>
    <i r="2">
      <x v="35"/>
    </i>
    <i r="2">
      <x v="51"/>
    </i>
    <i r="1">
      <x v="19"/>
      <x v="26"/>
    </i>
    <i r="2">
      <x v="27"/>
    </i>
    <i r="2">
      <x v="29"/>
    </i>
    <i t="blank">
      <x v="65"/>
    </i>
    <i>
      <x v="66"/>
    </i>
    <i r="1">
      <x/>
      <x/>
    </i>
    <i r="1">
      <x v="1"/>
      <x v="42"/>
    </i>
    <i r="1">
      <x v="2"/>
      <x v="40"/>
    </i>
    <i r="1">
      <x v="3"/>
      <x v="2"/>
    </i>
    <i r="1">
      <x v="4"/>
      <x v="38"/>
    </i>
    <i r="2">
      <x v="45"/>
    </i>
    <i r="1">
      <x v="6"/>
      <x v="1"/>
    </i>
    <i r="2">
      <x v="46"/>
    </i>
    <i r="1">
      <x v="8"/>
      <x v="31"/>
    </i>
    <i r="2">
      <x v="37"/>
    </i>
    <i r="1">
      <x v="10"/>
      <x v="28"/>
    </i>
    <i r="2">
      <x v="32"/>
    </i>
    <i r="2">
      <x v="33"/>
    </i>
    <i r="1">
      <x v="13"/>
      <x v="35"/>
    </i>
    <i r="2">
      <x v="43"/>
    </i>
    <i r="1">
      <x v="15"/>
      <x v="29"/>
    </i>
    <i r="2">
      <x v="30"/>
    </i>
    <i r="2">
      <x v="51"/>
    </i>
    <i r="1">
      <x v="18"/>
      <x v="5"/>
    </i>
    <i r="2">
      <x v="22"/>
    </i>
    <i r="2">
      <x v="34"/>
    </i>
    <i r="2">
      <x v="36"/>
    </i>
    <i r="2">
      <x v="47"/>
    </i>
    <i t="blank">
      <x v="66"/>
    </i>
    <i>
      <x v="67"/>
    </i>
    <i r="1">
      <x/>
      <x/>
    </i>
    <i r="1">
      <x v="1"/>
      <x v="33"/>
    </i>
    <i r="1">
      <x v="2"/>
      <x v="40"/>
    </i>
    <i r="1">
      <x v="3"/>
      <x v="31"/>
    </i>
    <i r="1">
      <x v="4"/>
      <x v="42"/>
    </i>
    <i r="1">
      <x v="5"/>
      <x v="1"/>
    </i>
    <i r="2">
      <x v="2"/>
    </i>
    <i r="1">
      <x v="7"/>
      <x v="27"/>
    </i>
    <i r="2">
      <x v="32"/>
    </i>
    <i r="1">
      <x v="9"/>
      <x v="6"/>
    </i>
    <i r="2">
      <x v="14"/>
    </i>
    <i r="2">
      <x v="47"/>
    </i>
    <i r="2">
      <x v="49"/>
    </i>
    <i r="1">
      <x v="13"/>
      <x v="4"/>
    </i>
    <i r="2">
      <x v="5"/>
    </i>
    <i r="2">
      <x v="9"/>
    </i>
    <i r="2">
      <x v="12"/>
    </i>
    <i r="2">
      <x v="36"/>
    </i>
    <i r="2">
      <x v="48"/>
    </i>
    <i r="2">
      <x v="51"/>
    </i>
    <i t="blank">
      <x v="67"/>
    </i>
    <i>
      <x v="68"/>
    </i>
    <i r="1">
      <x/>
      <x v="4"/>
    </i>
    <i r="2">
      <x v="40"/>
    </i>
    <i r="1">
      <x v="2"/>
      <x v="42"/>
    </i>
    <i r="1">
      <x v="3"/>
      <x v="33"/>
    </i>
    <i r="1">
      <x v="4"/>
      <x v="36"/>
    </i>
    <i r="1">
      <x v="5"/>
      <x v="46"/>
    </i>
    <i r="1">
      <x v="6"/>
      <x/>
    </i>
    <i r="2">
      <x v="2"/>
    </i>
    <i r="2">
      <x v="31"/>
    </i>
    <i r="1">
      <x v="9"/>
      <x v="32"/>
    </i>
    <i r="1">
      <x v="10"/>
      <x v="49"/>
    </i>
    <i r="1">
      <x v="11"/>
      <x v="30"/>
    </i>
    <i r="1">
      <x v="12"/>
      <x v="45"/>
    </i>
    <i r="1">
      <x v="13"/>
      <x v="1"/>
    </i>
    <i r="2">
      <x v="28"/>
    </i>
    <i r="1">
      <x v="15"/>
      <x v="27"/>
    </i>
    <i r="1">
      <x v="16"/>
      <x v="16"/>
    </i>
    <i r="2">
      <x v="35"/>
    </i>
    <i r="2">
      <x v="37"/>
    </i>
    <i r="2">
      <x v="43"/>
    </i>
    <i r="2">
      <x v="47"/>
    </i>
    <i t="blank">
      <x v="68"/>
    </i>
    <i>
      <x v="69"/>
    </i>
    <i r="1">
      <x/>
      <x v="36"/>
    </i>
    <i r="1">
      <x v="1"/>
      <x v="42"/>
    </i>
    <i r="1">
      <x v="2"/>
      <x v="40"/>
    </i>
    <i r="1">
      <x v="3"/>
      <x/>
    </i>
    <i r="1">
      <x v="4"/>
      <x v="45"/>
    </i>
    <i r="1">
      <x v="5"/>
      <x v="4"/>
    </i>
    <i r="1">
      <x v="6"/>
      <x v="33"/>
    </i>
    <i r="1">
      <x v="7"/>
      <x v="31"/>
    </i>
    <i r="1">
      <x v="8"/>
      <x v="2"/>
    </i>
    <i r="1">
      <x v="9"/>
      <x v="1"/>
    </i>
    <i r="1">
      <x v="10"/>
      <x v="46"/>
    </i>
    <i r="1">
      <x v="11"/>
      <x v="32"/>
    </i>
    <i r="1">
      <x v="12"/>
      <x v="47"/>
    </i>
    <i r="1">
      <x v="13"/>
      <x v="37"/>
    </i>
    <i r="1">
      <x v="14"/>
      <x v="30"/>
    </i>
    <i r="1">
      <x v="15"/>
      <x v="43"/>
    </i>
    <i r="1">
      <x v="16"/>
      <x v="35"/>
    </i>
    <i r="1">
      <x v="17"/>
      <x v="49"/>
    </i>
    <i r="1">
      <x v="18"/>
      <x v="38"/>
    </i>
    <i r="1">
      <x v="19"/>
      <x v="14"/>
    </i>
    <i r="2">
      <x v="29"/>
    </i>
    <i r="2">
      <x v="41"/>
    </i>
    <i t="blank">
      <x v="69"/>
    </i>
    <i>
      <x v="70"/>
    </i>
    <i r="1">
      <x/>
      <x v="33"/>
    </i>
    <i r="2">
      <x v="36"/>
    </i>
    <i r="1">
      <x v="2"/>
      <x v="42"/>
    </i>
    <i r="1">
      <x v="3"/>
      <x v="31"/>
    </i>
    <i r="1">
      <x v="4"/>
      <x v="23"/>
    </i>
    <i r="2">
      <x v="40"/>
    </i>
    <i r="1">
      <x v="6"/>
      <x v="45"/>
    </i>
    <i r="1">
      <x v="7"/>
      <x/>
    </i>
    <i r="2">
      <x v="2"/>
    </i>
    <i r="2">
      <x v="46"/>
    </i>
    <i r="1">
      <x v="10"/>
      <x v="1"/>
    </i>
    <i r="1">
      <x v="11"/>
      <x v="32"/>
    </i>
    <i r="1">
      <x v="12"/>
      <x v="15"/>
    </i>
    <i r="2">
      <x v="29"/>
    </i>
    <i r="1">
      <x v="14"/>
      <x v="4"/>
    </i>
    <i r="2">
      <x v="14"/>
    </i>
    <i r="2">
      <x v="24"/>
    </i>
    <i r="2">
      <x v="30"/>
    </i>
    <i r="2">
      <x v="38"/>
    </i>
    <i r="2">
      <x v="43"/>
    </i>
    <i r="2">
      <x v="50"/>
    </i>
    <i t="blank">
      <x v="70"/>
    </i>
    <i>
      <x v="71"/>
    </i>
    <i r="1">
      <x/>
      <x/>
    </i>
    <i r="2">
      <x v="33"/>
    </i>
    <i r="2">
      <x v="40"/>
    </i>
    <i r="1">
      <x v="3"/>
      <x v="31"/>
    </i>
    <i r="1">
      <x v="4"/>
      <x v="36"/>
    </i>
    <i r="1">
      <x v="5"/>
      <x v="42"/>
    </i>
    <i r="1">
      <x v="6"/>
      <x v="2"/>
    </i>
    <i r="1">
      <x v="7"/>
      <x v="46"/>
    </i>
    <i r="1">
      <x v="8"/>
      <x v="32"/>
    </i>
    <i r="1">
      <x v="9"/>
      <x v="38"/>
    </i>
    <i r="2">
      <x v="44"/>
    </i>
    <i r="2">
      <x v="45"/>
    </i>
    <i r="1">
      <x v="12"/>
      <x v="28"/>
    </i>
    <i r="2">
      <x v="39"/>
    </i>
    <i r="2">
      <x v="49"/>
    </i>
    <i r="1">
      <x v="15"/>
      <x v="1"/>
    </i>
    <i r="2">
      <x v="4"/>
    </i>
    <i r="2">
      <x v="43"/>
    </i>
    <i r="1">
      <x v="18"/>
      <x v="14"/>
    </i>
    <i r="2">
      <x v="26"/>
    </i>
    <i r="2">
      <x v="27"/>
    </i>
    <i r="2">
      <x v="30"/>
    </i>
    <i t="blank">
      <x v="71"/>
    </i>
    <i>
      <x v="72"/>
    </i>
    <i r="1">
      <x/>
      <x v="36"/>
    </i>
    <i r="1">
      <x v="1"/>
      <x/>
    </i>
    <i r="1">
      <x v="2"/>
      <x v="1"/>
    </i>
    <i r="2">
      <x v="42"/>
    </i>
    <i r="1">
      <x v="4"/>
      <x v="40"/>
    </i>
    <i r="1">
      <x v="5"/>
      <x v="45"/>
    </i>
    <i r="1">
      <x v="6"/>
      <x v="14"/>
    </i>
    <i r="2">
      <x v="46"/>
    </i>
    <i r="1">
      <x v="8"/>
      <x v="2"/>
    </i>
    <i r="2">
      <x v="33"/>
    </i>
    <i r="1">
      <x v="10"/>
      <x v="31"/>
    </i>
    <i r="1">
      <x v="11"/>
      <x v="29"/>
    </i>
    <i r="2">
      <x v="49"/>
    </i>
    <i r="1">
      <x v="13"/>
      <x v="4"/>
    </i>
    <i r="2">
      <x v="27"/>
    </i>
    <i r="2">
      <x v="32"/>
    </i>
    <i r="1">
      <x v="16"/>
      <x v="6"/>
    </i>
    <i r="2">
      <x v="30"/>
    </i>
    <i r="2">
      <x v="34"/>
    </i>
    <i r="2">
      <x v="37"/>
    </i>
    <i r="2">
      <x v="38"/>
    </i>
    <i t="blank">
      <x v="72"/>
    </i>
    <i>
      <x v="73"/>
    </i>
    <i r="1">
      <x/>
      <x v="36"/>
    </i>
    <i r="1">
      <x v="1"/>
      <x/>
    </i>
    <i r="1">
      <x v="2"/>
      <x v="1"/>
    </i>
    <i r="1">
      <x v="3"/>
      <x v="2"/>
    </i>
    <i r="1">
      <x v="4"/>
      <x v="40"/>
    </i>
    <i r="2">
      <x v="42"/>
    </i>
    <i r="1">
      <x v="6"/>
      <x v="31"/>
    </i>
    <i r="2">
      <x v="33"/>
    </i>
    <i r="1">
      <x v="8"/>
      <x v="32"/>
    </i>
    <i r="1">
      <x v="9"/>
      <x v="14"/>
    </i>
    <i r="2">
      <x v="45"/>
    </i>
    <i r="1">
      <x v="11"/>
      <x v="49"/>
    </i>
    <i r="1">
      <x v="12"/>
      <x v="7"/>
    </i>
    <i r="2">
      <x v="34"/>
    </i>
    <i r="2">
      <x v="46"/>
    </i>
    <i r="1">
      <x v="15"/>
      <x v="51"/>
    </i>
    <i r="1">
      <x v="16"/>
      <x v="4"/>
    </i>
    <i r="2">
      <x v="6"/>
    </i>
    <i r="2">
      <x v="9"/>
    </i>
    <i r="2">
      <x v="16"/>
    </i>
    <i r="2">
      <x v="25"/>
    </i>
    <i r="2">
      <x v="29"/>
    </i>
    <i r="2">
      <x v="37"/>
    </i>
    <i r="2">
      <x v="44"/>
    </i>
    <i t="blank">
      <x v="73"/>
    </i>
    <i>
      <x v="74"/>
    </i>
    <i r="1">
      <x/>
      <x/>
    </i>
    <i r="1">
      <x v="1"/>
      <x v="36"/>
    </i>
    <i r="1">
      <x v="2"/>
      <x v="9"/>
    </i>
    <i r="2">
      <x v="31"/>
    </i>
    <i r="2">
      <x v="40"/>
    </i>
    <i r="1">
      <x v="5"/>
      <x v="4"/>
    </i>
    <i r="2">
      <x v="27"/>
    </i>
    <i r="2">
      <x v="33"/>
    </i>
    <i r="2">
      <x v="45"/>
    </i>
    <i r="1">
      <x v="9"/>
      <x v="14"/>
    </i>
    <i r="1">
      <x v="10"/>
      <x v="1"/>
    </i>
    <i r="2">
      <x v="22"/>
    </i>
    <i r="2">
      <x v="42"/>
    </i>
    <i r="1">
      <x v="13"/>
      <x v="2"/>
    </i>
    <i r="2">
      <x v="3"/>
    </i>
    <i r="2">
      <x v="5"/>
    </i>
    <i r="2">
      <x v="6"/>
    </i>
    <i r="2">
      <x v="7"/>
    </i>
    <i r="2">
      <x v="12"/>
    </i>
    <i r="2">
      <x v="29"/>
    </i>
    <i r="2">
      <x v="41"/>
    </i>
    <i r="2">
      <x v="44"/>
    </i>
    <i r="2">
      <x v="46"/>
    </i>
    <i r="2">
      <x v="49"/>
    </i>
    <i t="blank">
      <x v="7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1083">
      <pivotArea field="2" type="button" dataOnly="0" labelOnly="1" outline="0" axis="axisRow" fieldPosition="0"/>
    </format>
    <format dxfId="1082">
      <pivotArea outline="0" fieldPosition="0">
        <references count="1">
          <reference field="4294967294" count="1">
            <x v="0"/>
          </reference>
        </references>
      </pivotArea>
    </format>
    <format dxfId="1081">
      <pivotArea outline="0" fieldPosition="0">
        <references count="1">
          <reference field="4294967294" count="1">
            <x v="1"/>
          </reference>
        </references>
      </pivotArea>
    </format>
    <format dxfId="1080">
      <pivotArea outline="0" fieldPosition="0">
        <references count="1">
          <reference field="4294967294" count="1">
            <x v="2"/>
          </reference>
        </references>
      </pivotArea>
    </format>
    <format dxfId="1079">
      <pivotArea outline="0" fieldPosition="0">
        <references count="1">
          <reference field="4294967294" count="1">
            <x v="3"/>
          </reference>
        </references>
      </pivotArea>
    </format>
    <format dxfId="1078">
      <pivotArea outline="0" fieldPosition="0">
        <references count="1">
          <reference field="4294967294" count="1">
            <x v="4"/>
          </reference>
        </references>
      </pivotArea>
    </format>
    <format dxfId="1077">
      <pivotArea outline="0" fieldPosition="0">
        <references count="1">
          <reference field="4294967294" count="1">
            <x v="5"/>
          </reference>
        </references>
      </pivotArea>
    </format>
    <format dxfId="1076">
      <pivotArea outline="0" fieldPosition="0">
        <references count="1">
          <reference field="4294967294" count="1">
            <x v="6"/>
          </reference>
        </references>
      </pivotArea>
    </format>
    <format dxfId="1075">
      <pivotArea field="2" type="button" dataOnly="0" labelOnly="1" outline="0" axis="axisRow" fieldPosition="0"/>
    </format>
    <format dxfId="107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73">
      <pivotArea field="2" type="button" dataOnly="0" labelOnly="1" outline="0" axis="axisRow" fieldPosition="0"/>
    </format>
    <format dxfId="107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71">
      <pivotArea field="2" type="button" dataOnly="0" labelOnly="1" outline="0" axis="axisRow" fieldPosition="0"/>
    </format>
    <format dxfId="107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6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6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67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C50A2EA-03DE-4541-AC60-8F819738D75B}" name="pvt_S" cacheId="2208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1731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75">
        <item x="43"/>
        <item x="54"/>
        <item x="48"/>
        <item x="40"/>
        <item x="34"/>
        <item x="62"/>
        <item x="57"/>
        <item x="39"/>
        <item x="64"/>
        <item x="26"/>
        <item x="27"/>
        <item x="30"/>
        <item x="28"/>
        <item x="29"/>
        <item x="31"/>
        <item x="33"/>
        <item x="32"/>
        <item x="65"/>
        <item x="61"/>
        <item x="41"/>
        <item x="49"/>
        <item x="47"/>
        <item x="37"/>
        <item x="56"/>
        <item x="45"/>
        <item x="38"/>
        <item x="69"/>
        <item x="70"/>
        <item x="71"/>
        <item x="60"/>
        <item x="68"/>
        <item x="63"/>
        <item x="1"/>
        <item x="16"/>
        <item x="14"/>
        <item x="6"/>
        <item x="4"/>
        <item x="17"/>
        <item x="22"/>
        <item x="15"/>
        <item x="13"/>
        <item x="5"/>
        <item x="19"/>
        <item x="10"/>
        <item x="7"/>
        <item x="25"/>
        <item x="21"/>
        <item x="8"/>
        <item x="2"/>
        <item x="18"/>
        <item x="12"/>
        <item x="11"/>
        <item x="3"/>
        <item x="23"/>
        <item x="24"/>
        <item x="20"/>
        <item x="9"/>
        <item x="0"/>
        <item x="50"/>
        <item x="36"/>
        <item x="59"/>
        <item x="58"/>
        <item x="73"/>
        <item x="74"/>
        <item x="72"/>
        <item x="53"/>
        <item x="44"/>
        <item x="46"/>
        <item x="35"/>
        <item x="67"/>
        <item x="66"/>
        <item x="42"/>
        <item x="52"/>
        <item x="55"/>
        <item x="51"/>
      </items>
    </pivotField>
    <pivotField axis="axisRow" showAll="0" insertBlankRow="1" defaultSubtotal="0">
      <items count="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</items>
    </pivotField>
    <pivotField showAll="0" defaultSubtotal="0">
      <items count="116">
        <item x="38"/>
        <item x="16"/>
        <item x="73"/>
        <item x="59"/>
        <item x="89"/>
        <item x="74"/>
        <item x="75"/>
        <item x="66"/>
        <item x="42"/>
        <item x="15"/>
        <item x="102"/>
        <item x="24"/>
        <item x="90"/>
        <item x="83"/>
        <item x="99"/>
        <item x="54"/>
        <item x="108"/>
        <item x="77"/>
        <item x="91"/>
        <item x="72"/>
        <item x="88"/>
        <item x="76"/>
        <item x="109"/>
        <item x="22"/>
        <item x="53"/>
        <item x="92"/>
        <item x="110"/>
        <item x="111"/>
        <item x="56"/>
        <item x="61"/>
        <item x="93"/>
        <item x="46"/>
        <item x="55"/>
        <item x="40"/>
        <item x="80"/>
        <item x="52"/>
        <item x="78"/>
        <item x="33"/>
        <item x="51"/>
        <item x="39"/>
        <item x="50"/>
        <item x="79"/>
        <item x="34"/>
        <item x="60"/>
        <item x="64"/>
        <item x="100"/>
        <item x="69"/>
        <item x="68"/>
        <item x="25"/>
        <item x="26"/>
        <item x="65"/>
        <item x="112"/>
        <item x="37"/>
        <item x="27"/>
        <item x="28"/>
        <item x="48"/>
        <item x="62"/>
        <item x="113"/>
        <item x="19"/>
        <item x="18"/>
        <item x="114"/>
        <item x="103"/>
        <item x="105"/>
        <item x="41"/>
        <item x="31"/>
        <item x="14"/>
        <item x="63"/>
        <item x="43"/>
        <item x="85"/>
        <item x="104"/>
        <item x="23"/>
        <item x="87"/>
        <item x="49"/>
        <item x="101"/>
        <item x="8"/>
        <item x="81"/>
        <item x="13"/>
        <item x="4"/>
        <item x="0"/>
        <item x="10"/>
        <item x="12"/>
        <item x="67"/>
        <item x="70"/>
        <item x="17"/>
        <item x="32"/>
        <item x="36"/>
        <item x="35"/>
        <item x="20"/>
        <item x="86"/>
        <item x="107"/>
        <item x="94"/>
        <item x="30"/>
        <item x="6"/>
        <item x="3"/>
        <item x="11"/>
        <item x="5"/>
        <item x="29"/>
        <item x="115"/>
        <item x="44"/>
        <item x="7"/>
        <item x="1"/>
        <item x="84"/>
        <item x="82"/>
        <item x="71"/>
        <item x="95"/>
        <item x="106"/>
        <item x="47"/>
        <item x="9"/>
        <item x="58"/>
        <item x="2"/>
        <item x="96"/>
        <item x="57"/>
        <item x="97"/>
        <item x="45"/>
        <item x="98"/>
        <item x="21"/>
      </items>
    </pivotField>
    <pivotField showAll="0" defaultSubtotal="0">
      <items count="116">
        <item x="56"/>
        <item x="104"/>
        <item x="49"/>
        <item x="93"/>
        <item x="39"/>
        <item x="111"/>
        <item x="29"/>
        <item x="14"/>
        <item x="76"/>
        <item x="62"/>
        <item x="106"/>
        <item x="94"/>
        <item x="42"/>
        <item x="90"/>
        <item x="79"/>
        <item x="35"/>
        <item x="84"/>
        <item x="77"/>
        <item x="46"/>
        <item x="34"/>
        <item x="32"/>
        <item x="74"/>
        <item x="99"/>
        <item x="11"/>
        <item x="92"/>
        <item x="110"/>
        <item x="33"/>
        <item x="68"/>
        <item x="23"/>
        <item x="64"/>
        <item x="51"/>
        <item x="60"/>
        <item x="97"/>
        <item x="22"/>
        <item x="112"/>
        <item x="85"/>
        <item x="72"/>
        <item x="31"/>
        <item x="54"/>
        <item x="114"/>
        <item x="61"/>
        <item x="47"/>
        <item x="24"/>
        <item x="113"/>
        <item x="43"/>
        <item x="86"/>
        <item x="5"/>
        <item x="9"/>
        <item x="50"/>
        <item x="78"/>
        <item x="80"/>
        <item x="52"/>
        <item x="36"/>
        <item x="88"/>
        <item x="40"/>
        <item x="59"/>
        <item x="16"/>
        <item x="65"/>
        <item x="70"/>
        <item x="17"/>
        <item x="100"/>
        <item x="27"/>
        <item x="109"/>
        <item x="58"/>
        <item x="96"/>
        <item x="28"/>
        <item x="63"/>
        <item x="45"/>
        <item x="101"/>
        <item x="41"/>
        <item x="3"/>
        <item x="66"/>
        <item x="30"/>
        <item x="26"/>
        <item x="91"/>
        <item x="83"/>
        <item x="53"/>
        <item x="6"/>
        <item x="44"/>
        <item x="69"/>
        <item x="105"/>
        <item x="19"/>
        <item x="21"/>
        <item x="8"/>
        <item x="71"/>
        <item x="0"/>
        <item x="89"/>
        <item x="10"/>
        <item x="81"/>
        <item x="37"/>
        <item x="48"/>
        <item x="15"/>
        <item x="102"/>
        <item x="75"/>
        <item x="20"/>
        <item x="38"/>
        <item x="87"/>
        <item x="25"/>
        <item x="115"/>
        <item x="1"/>
        <item x="98"/>
        <item x="12"/>
        <item x="13"/>
        <item x="4"/>
        <item x="18"/>
        <item x="82"/>
        <item x="67"/>
        <item x="73"/>
        <item x="103"/>
        <item x="95"/>
        <item x="55"/>
        <item x="7"/>
        <item x="107"/>
        <item x="2"/>
        <item x="57"/>
        <item x="108"/>
      </items>
    </pivotField>
    <pivotField axis="axisRow" showAll="0" defaultSubtotal="0">
      <items count="116">
        <item x="38"/>
        <item x="16"/>
        <item x="73"/>
        <item x="59"/>
        <item x="89"/>
        <item x="74"/>
        <item x="75"/>
        <item x="66"/>
        <item x="42"/>
        <item x="15"/>
        <item x="102"/>
        <item x="24"/>
        <item x="90"/>
        <item x="83"/>
        <item x="99"/>
        <item x="54"/>
        <item x="108"/>
        <item x="77"/>
        <item x="91"/>
        <item x="72"/>
        <item x="88"/>
        <item x="76"/>
        <item x="109"/>
        <item x="22"/>
        <item x="53"/>
        <item x="92"/>
        <item x="110"/>
        <item x="111"/>
        <item x="56"/>
        <item x="61"/>
        <item x="93"/>
        <item x="46"/>
        <item x="55"/>
        <item x="40"/>
        <item x="80"/>
        <item x="52"/>
        <item x="78"/>
        <item x="33"/>
        <item x="51"/>
        <item x="39"/>
        <item x="50"/>
        <item x="79"/>
        <item x="34"/>
        <item x="60"/>
        <item x="64"/>
        <item x="100"/>
        <item x="69"/>
        <item x="68"/>
        <item x="25"/>
        <item x="26"/>
        <item x="65"/>
        <item x="112"/>
        <item x="37"/>
        <item x="27"/>
        <item x="28"/>
        <item x="48"/>
        <item x="62"/>
        <item x="113"/>
        <item x="19"/>
        <item x="18"/>
        <item x="114"/>
        <item x="103"/>
        <item x="105"/>
        <item x="41"/>
        <item x="31"/>
        <item x="14"/>
        <item x="63"/>
        <item x="43"/>
        <item x="85"/>
        <item x="104"/>
        <item x="23"/>
        <item x="87"/>
        <item x="49"/>
        <item x="101"/>
        <item x="8"/>
        <item x="81"/>
        <item x="13"/>
        <item x="4"/>
        <item x="0"/>
        <item x="10"/>
        <item x="12"/>
        <item x="67"/>
        <item x="70"/>
        <item x="17"/>
        <item x="32"/>
        <item x="36"/>
        <item x="35"/>
        <item x="20"/>
        <item x="86"/>
        <item x="107"/>
        <item x="94"/>
        <item x="30"/>
        <item x="6"/>
        <item x="3"/>
        <item x="11"/>
        <item x="5"/>
        <item x="29"/>
        <item x="115"/>
        <item x="44"/>
        <item x="7"/>
        <item x="1"/>
        <item x="84"/>
        <item x="82"/>
        <item x="71"/>
        <item x="95"/>
        <item x="106"/>
        <item x="47"/>
        <item x="9"/>
        <item x="58"/>
        <item x="2"/>
        <item x="96"/>
        <item x="57"/>
        <item x="97"/>
        <item x="45"/>
        <item x="98"/>
        <item x="21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307">
        <item x="306"/>
        <item x="305"/>
        <item x="304"/>
        <item x="302"/>
        <item x="301"/>
        <item x="300"/>
        <item x="299"/>
        <item x="303"/>
        <item x="243"/>
        <item x="242"/>
        <item x="241"/>
        <item x="240"/>
        <item x="239"/>
        <item x="79"/>
        <item x="78"/>
        <item x="235"/>
        <item x="238"/>
        <item x="77"/>
        <item x="234"/>
        <item x="76"/>
        <item x="233"/>
        <item x="75"/>
        <item x="108"/>
        <item x="74"/>
        <item x="73"/>
        <item x="72"/>
        <item x="104"/>
        <item x="107"/>
        <item x="103"/>
        <item x="68"/>
        <item x="71"/>
        <item x="70"/>
        <item x="58"/>
        <item x="67"/>
        <item x="57"/>
        <item x="106"/>
        <item x="56"/>
        <item x="55"/>
        <item x="54"/>
        <item x="53"/>
        <item x="52"/>
        <item x="66"/>
        <item x="51"/>
        <item x="69"/>
        <item x="134"/>
        <item x="133"/>
        <item x="124"/>
        <item x="50"/>
        <item x="119"/>
        <item x="123"/>
        <item x="65"/>
        <item x="49"/>
        <item x="48"/>
        <item x="132"/>
        <item x="145"/>
        <item x="47"/>
        <item x="118"/>
        <item x="102"/>
        <item x="117"/>
        <item x="101"/>
        <item x="64"/>
        <item x="46"/>
        <item x="138"/>
        <item x="116"/>
        <item x="157"/>
        <item x="115"/>
        <item x="63"/>
        <item x="114"/>
        <item x="62"/>
        <item x="126"/>
        <item x="100"/>
        <item x="45"/>
        <item x="137"/>
        <item x="99"/>
        <item x="136"/>
        <item x="97"/>
        <item x="113"/>
        <item x="122"/>
        <item x="247"/>
        <item x="96"/>
        <item x="105"/>
        <item x="143"/>
        <item x="95"/>
        <item x="44"/>
        <item x="94"/>
        <item x="148"/>
        <item x="121"/>
        <item x="43"/>
        <item x="173"/>
        <item x="93"/>
        <item x="98"/>
        <item x="131"/>
        <item x="232"/>
        <item x="152"/>
        <item x="112"/>
        <item x="111"/>
        <item x="92"/>
        <item x="168"/>
        <item x="257"/>
        <item x="42"/>
        <item x="147"/>
        <item x="146"/>
        <item x="142"/>
        <item x="91"/>
        <item x="41"/>
        <item x="167"/>
        <item x="231"/>
        <item x="282"/>
        <item x="130"/>
        <item x="230"/>
        <item x="129"/>
        <item x="281"/>
        <item x="90"/>
        <item x="89"/>
        <item x="125"/>
        <item x="172"/>
        <item x="263"/>
        <item x="61"/>
        <item x="237"/>
        <item x="166"/>
        <item x="88"/>
        <item x="151"/>
        <item x="141"/>
        <item x="229"/>
        <item x="60"/>
        <item x="269"/>
        <item x="156"/>
        <item x="87"/>
        <item x="246"/>
        <item x="228"/>
        <item x="287"/>
        <item x="165"/>
        <item x="164"/>
        <item x="150"/>
        <item x="110"/>
        <item x="140"/>
        <item x="59"/>
        <item x="86"/>
        <item x="85"/>
        <item x="128"/>
        <item x="154"/>
        <item x="163"/>
        <item x="256"/>
        <item x="227"/>
        <item x="171"/>
        <item x="170"/>
        <item x="267"/>
        <item x="236"/>
        <item x="84"/>
        <item x="266"/>
        <item x="285"/>
        <item x="135"/>
        <item x="268"/>
        <item x="144"/>
        <item x="162"/>
        <item x="262"/>
        <item x="258"/>
        <item x="280"/>
        <item x="261"/>
        <item x="245"/>
        <item x="274"/>
        <item x="255"/>
        <item x="191"/>
        <item x="244"/>
        <item x="161"/>
        <item x="298"/>
        <item x="297"/>
        <item x="83"/>
        <item x="279"/>
        <item x="278"/>
        <item x="254"/>
        <item x="190"/>
        <item x="273"/>
        <item x="82"/>
        <item x="226"/>
        <item x="120"/>
        <item x="109"/>
        <item x="81"/>
        <item x="160"/>
        <item x="155"/>
        <item x="284"/>
        <item x="272"/>
        <item x="189"/>
        <item x="225"/>
        <item x="224"/>
        <item x="283"/>
        <item x="80"/>
        <item x="253"/>
        <item x="223"/>
        <item x="222"/>
        <item x="188"/>
        <item x="252"/>
        <item x="40"/>
        <item x="169"/>
        <item x="187"/>
        <item x="296"/>
        <item x="277"/>
        <item x="158"/>
        <item x="139"/>
        <item x="295"/>
        <item x="251"/>
        <item x="276"/>
        <item x="210"/>
        <item x="209"/>
        <item x="286"/>
        <item x="271"/>
        <item x="260"/>
        <item x="221"/>
        <item x="186"/>
        <item x="220"/>
        <item x="294"/>
        <item x="185"/>
        <item x="149"/>
        <item x="250"/>
        <item x="184"/>
        <item x="208"/>
        <item x="207"/>
        <item x="183"/>
        <item x="293"/>
        <item x="206"/>
        <item x="182"/>
        <item x="205"/>
        <item x="292"/>
        <item x="204"/>
        <item x="265"/>
        <item x="219"/>
        <item x="153"/>
        <item x="181"/>
        <item x="159"/>
        <item x="218"/>
        <item x="264"/>
        <item x="270"/>
        <item x="203"/>
        <item x="291"/>
        <item x="127"/>
        <item x="202"/>
        <item x="201"/>
        <item x="249"/>
        <item x="217"/>
        <item x="200"/>
        <item x="216"/>
        <item x="215"/>
        <item x="290"/>
        <item x="199"/>
        <item x="214"/>
        <item x="198"/>
        <item x="180"/>
        <item x="197"/>
        <item x="179"/>
        <item x="289"/>
        <item x="178"/>
        <item x="177"/>
        <item x="259"/>
        <item x="196"/>
        <item x="275"/>
        <item x="195"/>
        <item x="213"/>
        <item x="194"/>
        <item x="212"/>
        <item x="248"/>
        <item x="193"/>
        <item x="288"/>
        <item x="176"/>
        <item x="211"/>
        <item x="175"/>
        <item x="174"/>
        <item x="192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19"/>
        <item x="18"/>
        <item x="17"/>
        <item x="23"/>
        <item x="16"/>
        <item x="15"/>
        <item x="22"/>
        <item x="14"/>
        <item x="21"/>
        <item x="13"/>
        <item x="12"/>
        <item x="11"/>
        <item x="10"/>
        <item x="9"/>
        <item x="8"/>
        <item x="7"/>
        <item x="6"/>
        <item x="20"/>
        <item x="5"/>
        <item x="4"/>
        <item x="3"/>
        <item x="2"/>
        <item x="1"/>
        <item x="0"/>
      </items>
    </pivotField>
    <pivotField dataField="1" showAll="0" defaultSubtotal="0">
      <items count="377">
        <item x="202"/>
        <item x="264"/>
        <item x="201"/>
        <item x="159"/>
        <item x="302"/>
        <item x="81"/>
        <item x="176"/>
        <item x="158"/>
        <item x="271"/>
        <item x="175"/>
        <item x="222"/>
        <item x="18"/>
        <item x="270"/>
        <item x="128"/>
        <item x="157"/>
        <item x="149"/>
        <item x="68"/>
        <item x="250"/>
        <item x="17"/>
        <item x="16"/>
        <item x="37"/>
        <item x="15"/>
        <item x="53"/>
        <item x="14"/>
        <item x="109"/>
        <item x="36"/>
        <item x="138"/>
        <item x="35"/>
        <item x="67"/>
        <item x="52"/>
        <item x="34"/>
        <item x="148"/>
        <item x="66"/>
        <item x="80"/>
        <item x="137"/>
        <item x="108"/>
        <item x="65"/>
        <item x="51"/>
        <item x="33"/>
        <item x="136"/>
        <item x="50"/>
        <item x="99"/>
        <item x="32"/>
        <item x="135"/>
        <item x="31"/>
        <item x="30"/>
        <item x="213"/>
        <item x="64"/>
        <item x="13"/>
        <item x="245"/>
        <item x="98"/>
        <item x="12"/>
        <item x="134"/>
        <item x="228"/>
        <item x="91"/>
        <item x="209"/>
        <item x="133"/>
        <item x="120"/>
        <item x="244"/>
        <item x="49"/>
        <item x="11"/>
        <item x="147"/>
        <item x="79"/>
        <item x="10"/>
        <item x="146"/>
        <item x="156"/>
        <item x="90"/>
        <item x="243"/>
        <item x="216"/>
        <item x="234"/>
        <item x="233"/>
        <item x="155"/>
        <item x="208"/>
        <item x="29"/>
        <item x="166"/>
        <item x="200"/>
        <item x="78"/>
        <item x="48"/>
        <item x="89"/>
        <item x="184"/>
        <item x="165"/>
        <item x="257"/>
        <item x="132"/>
        <item x="119"/>
        <item x="77"/>
        <item x="9"/>
        <item x="63"/>
        <item x="335"/>
        <item x="8"/>
        <item x="118"/>
        <item x="28"/>
        <item x="7"/>
        <item x="47"/>
        <item x="107"/>
        <item x="88"/>
        <item x="256"/>
        <item x="46"/>
        <item x="194"/>
        <item x="62"/>
        <item x="207"/>
        <item x="27"/>
        <item x="26"/>
        <item x="61"/>
        <item x="242"/>
        <item x="349"/>
        <item x="117"/>
        <item x="206"/>
        <item x="45"/>
        <item x="87"/>
        <item x="183"/>
        <item x="145"/>
        <item x="280"/>
        <item x="116"/>
        <item x="144"/>
        <item x="205"/>
        <item x="106"/>
        <item x="306"/>
        <item x="97"/>
        <item x="115"/>
        <item x="328"/>
        <item x="86"/>
        <item x="164"/>
        <item x="232"/>
        <item x="322"/>
        <item x="190"/>
        <item x="105"/>
        <item x="163"/>
        <item x="76"/>
        <item x="199"/>
        <item x="44"/>
        <item x="127"/>
        <item x="25"/>
        <item x="24"/>
        <item x="182"/>
        <item x="75"/>
        <item x="6"/>
        <item x="104"/>
        <item x="60"/>
        <item x="266"/>
        <item x="85"/>
        <item x="23"/>
        <item x="74"/>
        <item x="5"/>
        <item x="181"/>
        <item x="4"/>
        <item x="154"/>
        <item x="263"/>
        <item x="114"/>
        <item x="376"/>
        <item x="73"/>
        <item x="212"/>
        <item x="236"/>
        <item x="153"/>
        <item x="338"/>
        <item x="312"/>
        <item x="3"/>
        <item x="235"/>
        <item x="231"/>
        <item x="289"/>
        <item x="198"/>
        <item x="59"/>
        <item x="279"/>
        <item x="96"/>
        <item x="255"/>
        <item x="171"/>
        <item x="143"/>
        <item x="43"/>
        <item x="58"/>
        <item x="152"/>
        <item x="174"/>
        <item x="2"/>
        <item x="22"/>
        <item x="230"/>
        <item x="276"/>
        <item x="204"/>
        <item x="180"/>
        <item x="131"/>
        <item x="170"/>
        <item x="21"/>
        <item x="142"/>
        <item x="287"/>
        <item x="151"/>
        <item x="254"/>
        <item x="239"/>
        <item x="333"/>
        <item x="360"/>
        <item x="253"/>
        <item x="221"/>
        <item x="215"/>
        <item x="113"/>
        <item x="162"/>
        <item x="126"/>
        <item x="220"/>
        <item x="161"/>
        <item x="292"/>
        <item x="348"/>
        <item x="238"/>
        <item x="241"/>
        <item x="130"/>
        <item x="20"/>
        <item x="112"/>
        <item x="169"/>
        <item x="301"/>
        <item x="111"/>
        <item x="42"/>
        <item x="219"/>
        <item x="95"/>
        <item x="218"/>
        <item x="229"/>
        <item x="298"/>
        <item x="189"/>
        <item x="125"/>
        <item x="326"/>
        <item x="358"/>
        <item x="72"/>
        <item x="103"/>
        <item x="365"/>
        <item x="41"/>
        <item x="84"/>
        <item x="102"/>
        <item x="124"/>
        <item x="101"/>
        <item x="123"/>
        <item x="269"/>
        <item x="94"/>
        <item x="193"/>
        <item x="141"/>
        <item x="303"/>
        <item x="83"/>
        <item x="309"/>
        <item x="359"/>
        <item x="297"/>
        <item x="364"/>
        <item x="227"/>
        <item x="275"/>
        <item x="296"/>
        <item x="315"/>
        <item x="284"/>
        <item x="237"/>
        <item x="226"/>
        <item x="168"/>
        <item x="369"/>
        <item x="197"/>
        <item x="1"/>
        <item x="192"/>
        <item x="351"/>
        <item x="314"/>
        <item x="82"/>
        <item x="40"/>
        <item x="354"/>
        <item x="274"/>
        <item x="313"/>
        <item x="363"/>
        <item x="188"/>
        <item x="323"/>
        <item x="260"/>
        <item x="347"/>
        <item x="318"/>
        <item x="71"/>
        <item x="291"/>
        <item x="39"/>
        <item x="295"/>
        <item x="173"/>
        <item x="283"/>
        <item x="262"/>
        <item x="286"/>
        <item x="252"/>
        <item x="278"/>
        <item x="282"/>
        <item x="179"/>
        <item x="57"/>
        <item x="334"/>
        <item x="265"/>
        <item x="93"/>
        <item x="346"/>
        <item x="211"/>
        <item x="196"/>
        <item x="375"/>
        <item x="343"/>
        <item x="337"/>
        <item x="290"/>
        <item x="332"/>
        <item x="305"/>
        <item x="249"/>
        <item x="140"/>
        <item x="325"/>
        <item x="353"/>
        <item x="122"/>
        <item x="330"/>
        <item x="100"/>
        <item x="320"/>
        <item x="70"/>
        <item x="304"/>
        <item x="178"/>
        <item x="248"/>
        <item x="317"/>
        <item x="187"/>
        <item x="268"/>
        <item x="294"/>
        <item x="56"/>
        <item x="324"/>
        <item x="372"/>
        <item x="259"/>
        <item x="186"/>
        <item x="321"/>
        <item x="240"/>
        <item x="92"/>
        <item x="356"/>
        <item x="341"/>
        <item x="225"/>
        <item x="217"/>
        <item x="300"/>
        <item x="55"/>
        <item x="203"/>
        <item x="69"/>
        <item x="273"/>
        <item x="247"/>
        <item x="160"/>
        <item x="129"/>
        <item x="288"/>
        <item x="362"/>
        <item x="308"/>
        <item x="251"/>
        <item x="355"/>
        <item x="336"/>
        <item x="150"/>
        <item x="214"/>
        <item x="0"/>
        <item x="340"/>
        <item x="54"/>
        <item x="361"/>
        <item x="19"/>
        <item x="350"/>
        <item x="342"/>
        <item x="370"/>
        <item x="224"/>
        <item x="311"/>
        <item x="345"/>
        <item x="310"/>
        <item x="223"/>
        <item x="352"/>
        <item x="191"/>
        <item x="258"/>
        <item x="329"/>
        <item x="368"/>
        <item x="285"/>
        <item x="344"/>
        <item x="293"/>
        <item x="110"/>
        <item x="327"/>
        <item x="357"/>
        <item x="367"/>
        <item x="371"/>
        <item x="331"/>
        <item x="307"/>
        <item x="366"/>
        <item x="172"/>
        <item x="281"/>
        <item x="121"/>
        <item x="261"/>
        <item x="267"/>
        <item x="272"/>
        <item x="167"/>
        <item x="246"/>
        <item x="277"/>
        <item x="38"/>
        <item x="210"/>
        <item x="316"/>
        <item x="195"/>
        <item x="177"/>
        <item x="339"/>
        <item x="185"/>
        <item x="373"/>
        <item x="299"/>
        <item x="319"/>
        <item x="139"/>
        <item x="374"/>
      </items>
    </pivotField>
    <pivotField dataField="1" showAll="0" defaultSubtotal="0">
      <items count="224">
        <item x="111"/>
        <item x="50"/>
        <item x="82"/>
        <item x="53"/>
        <item x="75"/>
        <item x="68"/>
        <item x="59"/>
        <item x="71"/>
        <item x="55"/>
        <item x="74"/>
        <item x="60"/>
        <item x="86"/>
        <item x="57"/>
        <item x="83"/>
        <item x="67"/>
        <item x="46"/>
        <item x="51"/>
        <item x="107"/>
        <item x="64"/>
        <item x="97"/>
        <item x="52"/>
        <item x="81"/>
        <item x="54"/>
        <item x="96"/>
        <item x="73"/>
        <item x="79"/>
        <item x="80"/>
        <item x="56"/>
        <item x="104"/>
        <item x="114"/>
        <item x="113"/>
        <item x="185"/>
        <item x="102"/>
        <item x="48"/>
        <item x="58"/>
        <item x="101"/>
        <item x="100"/>
        <item x="128"/>
        <item x="76"/>
        <item x="110"/>
        <item x="92"/>
        <item x="49"/>
        <item x="72"/>
        <item x="99"/>
        <item x="120"/>
        <item x="78"/>
        <item x="70"/>
        <item x="94"/>
        <item x="69"/>
        <item x="95"/>
        <item x="122"/>
        <item x="119"/>
        <item x="47"/>
        <item x="106"/>
        <item x="61"/>
        <item x="77"/>
        <item x="145"/>
        <item x="87"/>
        <item x="133"/>
        <item x="65"/>
        <item x="66"/>
        <item x="98"/>
        <item x="139"/>
        <item x="112"/>
        <item x="43"/>
        <item x="189"/>
        <item x="108"/>
        <item x="121"/>
        <item x="93"/>
        <item x="129"/>
        <item x="45"/>
        <item x="44"/>
        <item x="207"/>
        <item x="200"/>
        <item x="152"/>
        <item x="172"/>
        <item x="42"/>
        <item x="105"/>
        <item x="140"/>
        <item x="194"/>
        <item x="109"/>
        <item x="85"/>
        <item x="91"/>
        <item x="132"/>
        <item x="127"/>
        <item x="191"/>
        <item x="215"/>
        <item x="41"/>
        <item x="118"/>
        <item x="125"/>
        <item x="151"/>
        <item x="40"/>
        <item x="160"/>
        <item x="126"/>
        <item x="138"/>
        <item x="90"/>
        <item x="162"/>
        <item x="117"/>
        <item x="142"/>
        <item x="63"/>
        <item x="62"/>
        <item x="33"/>
        <item x="203"/>
        <item x="134"/>
        <item x="89"/>
        <item x="144"/>
        <item x="88"/>
        <item x="130"/>
        <item x="188"/>
        <item x="212"/>
        <item x="131"/>
        <item x="124"/>
        <item x="39"/>
        <item x="187"/>
        <item x="137"/>
        <item x="193"/>
        <item x="150"/>
        <item x="161"/>
        <item x="135"/>
        <item x="205"/>
        <item x="149"/>
        <item x="141"/>
        <item x="171"/>
        <item x="153"/>
        <item x="123"/>
        <item x="143"/>
        <item x="116"/>
        <item x="154"/>
        <item x="103"/>
        <item x="186"/>
        <item x="195"/>
        <item x="190"/>
        <item x="211"/>
        <item x="163"/>
        <item x="218"/>
        <item x="147"/>
        <item x="136"/>
        <item x="148"/>
        <item x="199"/>
        <item x="216"/>
        <item x="214"/>
        <item x="198"/>
        <item x="192"/>
        <item x="183"/>
        <item x="202"/>
        <item x="164"/>
        <item x="165"/>
        <item x="84"/>
        <item x="209"/>
        <item x="146"/>
        <item x="223"/>
        <item x="208"/>
        <item x="174"/>
        <item x="115"/>
        <item x="217"/>
        <item x="213"/>
        <item x="184"/>
        <item x="12"/>
        <item x="181"/>
        <item x="210"/>
        <item x="201"/>
        <item x="31"/>
        <item x="170"/>
        <item x="173"/>
        <item x="197"/>
        <item x="182"/>
        <item x="180"/>
        <item x="30"/>
        <item x="222"/>
        <item x="221"/>
        <item x="219"/>
        <item x="204"/>
        <item x="206"/>
        <item x="220"/>
        <item x="196"/>
        <item x="179"/>
        <item x="178"/>
        <item x="169"/>
        <item x="159"/>
        <item x="16"/>
        <item x="167"/>
        <item x="177"/>
        <item x="26"/>
        <item x="19"/>
        <item x="157"/>
        <item x="176"/>
        <item x="158"/>
        <item x="168"/>
        <item x="32"/>
        <item x="37"/>
        <item x="15"/>
        <item x="13"/>
        <item x="175"/>
        <item x="155"/>
        <item x="156"/>
        <item x="166"/>
        <item x="4"/>
        <item x="36"/>
        <item x="38"/>
        <item x="35"/>
        <item x="29"/>
        <item x="34"/>
        <item x="18"/>
        <item x="27"/>
        <item x="28"/>
        <item x="25"/>
        <item x="20"/>
        <item x="14"/>
        <item x="24"/>
        <item x="21"/>
        <item x="23"/>
        <item x="22"/>
        <item x="17"/>
        <item x="10"/>
        <item x="8"/>
        <item x="9"/>
        <item x="11"/>
        <item x="0"/>
        <item x="7"/>
        <item x="6"/>
        <item x="5"/>
        <item x="2"/>
        <item x="3"/>
        <item x="1"/>
      </items>
    </pivotField>
    <pivotField dataField="1" showAll="0" defaultSubtotal="0">
      <items count="606">
        <item x="158"/>
        <item x="493"/>
        <item x="299"/>
        <item x="100"/>
        <item x="48"/>
        <item x="441"/>
        <item x="348"/>
        <item x="478"/>
        <item x="99"/>
        <item x="319"/>
        <item x="498"/>
        <item x="220"/>
        <item x="297"/>
        <item x="155"/>
        <item x="12"/>
        <item x="128"/>
        <item x="322"/>
        <item x="32"/>
        <item x="51"/>
        <item x="185"/>
        <item x="37"/>
        <item x="272"/>
        <item x="87"/>
        <item x="102"/>
        <item x="170"/>
        <item x="127"/>
        <item x="383"/>
        <item x="397"/>
        <item x="533"/>
        <item x="101"/>
        <item x="232"/>
        <item x="76"/>
        <item x="16"/>
        <item x="144"/>
        <item x="167"/>
        <item x="19"/>
        <item x="126"/>
        <item x="457"/>
        <item x="362"/>
        <item x="284"/>
        <item x="65"/>
        <item x="245"/>
        <item x="57"/>
        <item x="346"/>
        <item x="181"/>
        <item x="30"/>
        <item x="114"/>
        <item x="203"/>
        <item x="295"/>
        <item x="73"/>
        <item x="84"/>
        <item x="205"/>
        <item x="15"/>
        <item x="458"/>
        <item x="13"/>
        <item x="420"/>
        <item x="140"/>
        <item x="92"/>
        <item x="53"/>
        <item x="69"/>
        <item x="296"/>
        <item x="152"/>
        <item x="512"/>
        <item x="172"/>
        <item x="193"/>
        <item x="215"/>
        <item x="4"/>
        <item x="399"/>
        <item x="381"/>
        <item x="287"/>
        <item x="364"/>
        <item x="385"/>
        <item x="58"/>
        <item x="347"/>
        <item x="75"/>
        <item x="503"/>
        <item x="136"/>
        <item x="153"/>
        <item x="480"/>
        <item x="433"/>
        <item x="174"/>
        <item x="229"/>
        <item x="275"/>
        <item x="440"/>
        <item x="243"/>
        <item x="26"/>
        <item x="465"/>
        <item x="55"/>
        <item x="337"/>
        <item x="375"/>
        <item x="332"/>
        <item x="236"/>
        <item x="195"/>
        <item x="289"/>
        <item x="124"/>
        <item x="159"/>
        <item x="202"/>
        <item x="407"/>
        <item x="196"/>
        <item x="321"/>
        <item x="391"/>
        <item x="257"/>
        <item x="31"/>
        <item x="129"/>
        <item x="491"/>
        <item x="283"/>
        <item x="524"/>
        <item x="428"/>
        <item x="44"/>
        <item x="219"/>
        <item x="575"/>
        <item x="204"/>
        <item x="473"/>
        <item x="250"/>
        <item x="559"/>
        <item x="352"/>
        <item x="49"/>
        <item x="18"/>
        <item x="139"/>
        <item x="402"/>
        <item x="154"/>
        <item x="408"/>
        <item x="262"/>
        <item x="382"/>
        <item x="90"/>
        <item x="35"/>
        <item x="315"/>
        <item x="557"/>
        <item x="546"/>
        <item x="231"/>
        <item x="270"/>
        <item x="246"/>
        <item x="376"/>
        <item x="186"/>
        <item x="393"/>
        <item x="550"/>
        <item x="526"/>
        <item x="151"/>
        <item x="145"/>
        <item x="234"/>
        <item x="314"/>
        <item x="360"/>
        <item x="389"/>
        <item x="50"/>
        <item x="146"/>
        <item x="115"/>
        <item x="62"/>
        <item x="452"/>
        <item x="288"/>
        <item x="525"/>
        <item x="143"/>
        <item x="380"/>
        <item x="513"/>
        <item x="160"/>
        <item x="225"/>
        <item x="286"/>
        <item x="444"/>
        <item x="52"/>
        <item x="564"/>
        <item x="164"/>
        <item x="233"/>
        <item x="88"/>
        <item x="328"/>
        <item x="357"/>
        <item x="349"/>
        <item x="427"/>
        <item x="459"/>
        <item x="412"/>
        <item x="14"/>
        <item x="403"/>
        <item x="472"/>
        <item x="442"/>
        <item x="345"/>
        <item x="214"/>
        <item x="369"/>
        <item x="112"/>
        <item x="125"/>
        <item x="36"/>
        <item x="72"/>
        <item x="235"/>
        <item x="479"/>
        <item x="419"/>
        <item x="194"/>
        <item x="400"/>
        <item x="276"/>
        <item x="307"/>
        <item x="183"/>
        <item x="358"/>
        <item x="34"/>
        <item x="274"/>
        <item x="132"/>
        <item x="54"/>
        <item x="247"/>
        <item x="217"/>
        <item x="74"/>
        <item x="486"/>
        <item x="588"/>
        <item x="113"/>
        <item x="538"/>
        <item x="317"/>
        <item x="285"/>
        <item x="173"/>
        <item x="218"/>
        <item x="103"/>
        <item x="517"/>
        <item x="547"/>
        <item x="230"/>
        <item x="336"/>
        <item x="216"/>
        <item x="519"/>
        <item x="249"/>
        <item x="401"/>
        <item x="97"/>
        <item x="335"/>
        <item x="466"/>
        <item x="17"/>
        <item x="363"/>
        <item x="10"/>
        <item x="182"/>
        <item x="558"/>
        <item x="499"/>
        <item x="306"/>
        <item x="456"/>
        <item x="464"/>
        <item x="488"/>
        <item x="556"/>
        <item x="271"/>
        <item x="157"/>
        <item x="505"/>
        <item x="259"/>
        <item x="312"/>
        <item x="570"/>
        <item x="470"/>
        <item x="46"/>
        <item x="451"/>
        <item x="492"/>
        <item x="329"/>
        <item x="184"/>
        <item x="268"/>
        <item x="56"/>
        <item x="418"/>
        <item x="85"/>
        <item x="320"/>
        <item x="471"/>
        <item x="365"/>
        <item x="273"/>
        <item x="511"/>
        <item x="242"/>
        <item x="523"/>
        <item x="171"/>
        <item x="343"/>
        <item x="554"/>
        <item x="8"/>
        <item x="86"/>
        <item x="111"/>
        <item x="598"/>
        <item x="536"/>
        <item x="374"/>
        <item x="261"/>
        <item x="169"/>
        <item x="29"/>
        <item x="454"/>
        <item x="568"/>
        <item x="390"/>
        <item x="71"/>
        <item x="33"/>
        <item x="248"/>
        <item x="156"/>
        <item x="537"/>
        <item x="9"/>
        <item x="228"/>
        <item x="68"/>
        <item x="305"/>
        <item x="180"/>
        <item x="366"/>
        <item x="593"/>
        <item x="241"/>
        <item x="490"/>
        <item x="435"/>
        <item x="179"/>
        <item x="192"/>
        <item x="282"/>
        <item x="141"/>
        <item x="11"/>
        <item x="213"/>
        <item x="168"/>
        <item x="93"/>
        <item x="47"/>
        <item x="545"/>
        <item x="311"/>
        <item x="585"/>
        <item x="567"/>
        <item x="387"/>
        <item x="123"/>
        <item x="552"/>
        <item x="344"/>
        <item x="313"/>
        <item x="497"/>
        <item x="339"/>
        <item x="269"/>
        <item x="507"/>
        <item x="356"/>
        <item x="416"/>
        <item x="82"/>
        <item x="227"/>
        <item x="258"/>
        <item x="410"/>
        <item x="197"/>
        <item x="516"/>
        <item x="553"/>
        <item x="137"/>
        <item x="122"/>
        <item x="211"/>
        <item x="551"/>
        <item x="83"/>
        <item x="281"/>
        <item x="434"/>
        <item x="267"/>
        <item x="398"/>
        <item x="485"/>
        <item x="121"/>
        <item x="260"/>
        <item x="529"/>
        <item x="576"/>
        <item x="496"/>
        <item x="298"/>
        <item x="199"/>
        <item x="150"/>
        <item x="81"/>
        <item x="120"/>
        <item x="226"/>
        <item x="535"/>
        <item x="373"/>
        <item x="549"/>
        <item x="200"/>
        <item x="555"/>
        <item x="244"/>
        <item x="70"/>
        <item x="0"/>
        <item x="448"/>
        <item x="318"/>
        <item x="504"/>
        <item x="256"/>
        <item x="417"/>
        <item x="190"/>
        <item x="7"/>
        <item x="450"/>
        <item x="210"/>
        <item x="201"/>
        <item x="518"/>
        <item x="590"/>
        <item x="109"/>
        <item x="563"/>
        <item x="449"/>
        <item x="191"/>
        <item x="495"/>
        <item x="135"/>
        <item x="426"/>
        <item x="6"/>
        <item x="149"/>
        <item x="280"/>
        <item x="388"/>
        <item x="338"/>
        <item x="582"/>
        <item x="130"/>
        <item x="45"/>
        <item x="116"/>
        <item x="544"/>
        <item x="110"/>
        <item x="522"/>
        <item x="67"/>
        <item x="27"/>
        <item x="161"/>
        <item x="266"/>
        <item x="415"/>
        <item x="463"/>
        <item x="303"/>
        <item x="409"/>
        <item x="188"/>
        <item x="28"/>
        <item x="310"/>
        <item x="212"/>
        <item x="66"/>
        <item x="25"/>
        <item x="423"/>
        <item x="108"/>
        <item x="439"/>
        <item x="20"/>
        <item x="119"/>
        <item x="304"/>
        <item x="189"/>
        <item x="198"/>
        <item x="406"/>
        <item x="489"/>
        <item x="447"/>
        <item x="138"/>
        <item x="462"/>
        <item x="91"/>
        <item x="469"/>
        <item x="432"/>
        <item x="293"/>
        <item x="142"/>
        <item x="98"/>
        <item x="487"/>
        <item x="166"/>
        <item x="528"/>
        <item x="484"/>
        <item x="424"/>
        <item x="371"/>
        <item x="425"/>
        <item x="5"/>
        <item x="342"/>
        <item x="597"/>
        <item x="104"/>
        <item x="294"/>
        <item x="502"/>
        <item x="386"/>
        <item x="308"/>
        <item x="59"/>
        <item x="2"/>
        <item x="600"/>
        <item x="3"/>
        <item x="483"/>
        <item x="587"/>
        <item x="413"/>
        <item x="224"/>
        <item x="372"/>
        <item x="24"/>
        <item x="592"/>
        <item x="361"/>
        <item x="414"/>
        <item x="431"/>
        <item x="209"/>
        <item x="438"/>
        <item x="41"/>
        <item x="579"/>
        <item x="355"/>
        <item x="515"/>
        <item x="534"/>
        <item x="187"/>
        <item x="264"/>
        <item x="165"/>
        <item x="77"/>
        <item x="571"/>
        <item x="21"/>
        <item x="395"/>
        <item x="353"/>
        <item x="562"/>
        <item x="578"/>
        <item x="540"/>
        <item x="290"/>
        <item x="351"/>
        <item x="23"/>
        <item x="384"/>
        <item x="354"/>
        <item x="63"/>
        <item x="178"/>
        <item x="302"/>
        <item x="223"/>
        <item x="96"/>
        <item x="134"/>
        <item x="106"/>
        <item x="591"/>
        <item x="64"/>
        <item x="396"/>
        <item x="255"/>
        <item x="604"/>
        <item x="22"/>
        <item x="265"/>
        <item x="207"/>
        <item x="43"/>
        <item x="455"/>
        <item x="350"/>
        <item x="316"/>
        <item x="279"/>
        <item x="208"/>
        <item x="42"/>
        <item x="521"/>
        <item x="561"/>
        <item x="430"/>
        <item x="107"/>
        <item x="596"/>
        <item x="379"/>
        <item x="240"/>
        <item x="446"/>
        <item x="133"/>
        <item x="378"/>
        <item x="292"/>
        <item x="177"/>
        <item x="341"/>
        <item x="95"/>
        <item x="105"/>
        <item x="40"/>
        <item x="477"/>
        <item x="510"/>
        <item x="573"/>
        <item x="118"/>
        <item x="445"/>
        <item x="94"/>
        <item x="482"/>
        <item x="80"/>
        <item x="163"/>
        <item x="147"/>
        <item x="468"/>
        <item x="162"/>
        <item x="79"/>
        <item x="117"/>
        <item x="599"/>
        <item x="429"/>
        <item x="508"/>
        <item x="422"/>
        <item x="509"/>
        <item x="221"/>
        <item x="461"/>
        <item x="539"/>
        <item x="586"/>
        <item x="574"/>
        <item x="254"/>
        <item x="222"/>
        <item x="334"/>
        <item x="263"/>
        <item x="476"/>
        <item x="278"/>
        <item x="253"/>
        <item x="237"/>
        <item x="1"/>
        <item x="475"/>
        <item x="467"/>
        <item x="309"/>
        <item x="39"/>
        <item x="370"/>
        <item x="394"/>
        <item x="327"/>
        <item x="368"/>
        <item x="239"/>
        <item x="494"/>
        <item x="532"/>
        <item x="411"/>
        <item x="443"/>
        <item x="38"/>
        <item x="331"/>
        <item x="206"/>
        <item x="291"/>
        <item x="527"/>
        <item x="584"/>
        <item x="543"/>
        <item x="530"/>
        <item x="437"/>
        <item x="78"/>
        <item x="148"/>
        <item x="252"/>
        <item x="605"/>
        <item x="460"/>
        <item x="542"/>
        <item x="548"/>
        <item x="577"/>
        <item x="325"/>
        <item x="238"/>
        <item x="581"/>
        <item x="569"/>
        <item x="176"/>
        <item x="602"/>
        <item x="500"/>
        <item x="277"/>
        <item x="589"/>
        <item x="301"/>
        <item x="326"/>
        <item x="572"/>
        <item x="404"/>
        <item x="251"/>
        <item x="340"/>
        <item x="333"/>
        <item x="541"/>
        <item x="421"/>
        <item x="560"/>
        <item x="506"/>
        <item x="566"/>
        <item x="61"/>
        <item x="359"/>
        <item x="583"/>
        <item x="60"/>
        <item x="514"/>
        <item x="436"/>
        <item x="501"/>
        <item x="481"/>
        <item x="405"/>
        <item x="595"/>
        <item x="300"/>
        <item x="377"/>
        <item x="89"/>
        <item x="131"/>
        <item x="601"/>
        <item x="580"/>
        <item x="565"/>
        <item x="531"/>
        <item x="520"/>
        <item x="474"/>
        <item x="392"/>
        <item x="175"/>
        <item x="453"/>
        <item x="594"/>
        <item x="367"/>
        <item x="323"/>
        <item x="330"/>
        <item x="324"/>
        <item x="603"/>
      </items>
    </pivotField>
    <pivotField dataField="1" showAll="0" defaultSubtotal="0">
      <items count="209">
        <item x="73"/>
        <item x="66"/>
        <item x="56"/>
        <item x="44"/>
        <item x="63"/>
        <item x="46"/>
        <item x="67"/>
        <item x="72"/>
        <item x="61"/>
        <item x="74"/>
        <item x="69"/>
        <item x="54"/>
        <item x="48"/>
        <item x="108"/>
        <item x="43"/>
        <item x="64"/>
        <item x="76"/>
        <item x="75"/>
        <item x="52"/>
        <item x="41"/>
        <item x="59"/>
        <item x="47"/>
        <item x="50"/>
        <item x="97"/>
        <item x="55"/>
        <item x="42"/>
        <item x="58"/>
        <item x="70"/>
        <item x="49"/>
        <item x="68"/>
        <item x="71"/>
        <item x="53"/>
        <item x="91"/>
        <item x="107"/>
        <item x="119"/>
        <item x="105"/>
        <item x="65"/>
        <item x="89"/>
        <item x="51"/>
        <item x="77"/>
        <item x="176"/>
        <item x="106"/>
        <item x="92"/>
        <item x="110"/>
        <item x="101"/>
        <item x="113"/>
        <item x="175"/>
        <item x="62"/>
        <item x="45"/>
        <item x="90"/>
        <item x="98"/>
        <item x="100"/>
        <item x="148"/>
        <item x="180"/>
        <item x="135"/>
        <item x="96"/>
        <item x="86"/>
        <item x="121"/>
        <item x="118"/>
        <item x="99"/>
        <item x="191"/>
        <item x="115"/>
        <item x="169"/>
        <item x="104"/>
        <item x="112"/>
        <item x="95"/>
        <item x="116"/>
        <item x="123"/>
        <item x="94"/>
        <item x="198"/>
        <item x="34"/>
        <item x="136"/>
        <item x="109"/>
        <item x="188"/>
        <item x="195"/>
        <item x="88"/>
        <item x="155"/>
        <item x="87"/>
        <item x="186"/>
        <item x="138"/>
        <item x="199"/>
        <item x="83"/>
        <item x="57"/>
        <item x="134"/>
        <item x="197"/>
        <item x="60"/>
        <item x="129"/>
        <item x="187"/>
        <item x="131"/>
        <item x="132"/>
        <item x="103"/>
        <item x="202"/>
        <item x="174"/>
        <item x="133"/>
        <item x="130"/>
        <item x="125"/>
        <item x="181"/>
        <item x="177"/>
        <item x="182"/>
        <item x="85"/>
        <item x="114"/>
        <item x="79"/>
        <item x="189"/>
        <item x="170"/>
        <item x="208"/>
        <item x="201"/>
        <item x="28"/>
        <item x="206"/>
        <item x="117"/>
        <item x="193"/>
        <item x="84"/>
        <item x="124"/>
        <item x="128"/>
        <item x="196"/>
        <item x="82"/>
        <item x="40"/>
        <item x="102"/>
        <item x="144"/>
        <item x="81"/>
        <item x="127"/>
        <item x="203"/>
        <item x="17"/>
        <item x="93"/>
        <item x="207"/>
        <item x="122"/>
        <item x="163"/>
        <item x="185"/>
        <item x="111"/>
        <item x="120"/>
        <item x="27"/>
        <item x="194"/>
        <item x="137"/>
        <item x="151"/>
        <item x="190"/>
        <item x="80"/>
        <item x="200"/>
        <item x="78"/>
        <item x="184"/>
        <item x="7"/>
        <item x="126"/>
        <item x="173"/>
        <item x="24"/>
        <item x="172"/>
        <item x="149"/>
        <item x="164"/>
        <item x="150"/>
        <item x="152"/>
        <item x="142"/>
        <item x="179"/>
        <item x="171"/>
        <item x="11"/>
        <item x="165"/>
        <item x="139"/>
        <item x="166"/>
        <item x="146"/>
        <item x="145"/>
        <item x="147"/>
        <item x="158"/>
        <item x="162"/>
        <item x="143"/>
        <item x="192"/>
        <item x="141"/>
        <item x="161"/>
        <item x="168"/>
        <item x="159"/>
        <item x="160"/>
        <item x="22"/>
        <item x="140"/>
        <item x="156"/>
        <item x="5"/>
        <item x="23"/>
        <item x="157"/>
        <item x="38"/>
        <item x="35"/>
        <item x="205"/>
        <item x="25"/>
        <item x="183"/>
        <item x="167"/>
        <item x="154"/>
        <item x="178"/>
        <item x="204"/>
        <item x="153"/>
        <item x="36"/>
        <item x="3"/>
        <item x="29"/>
        <item x="37"/>
        <item x="21"/>
        <item x="14"/>
        <item x="2"/>
        <item x="1"/>
        <item x="9"/>
        <item x="32"/>
        <item x="6"/>
        <item x="39"/>
        <item x="10"/>
        <item x="18"/>
        <item x="8"/>
        <item x="31"/>
        <item x="33"/>
        <item x="30"/>
        <item x="26"/>
        <item x="19"/>
        <item x="15"/>
        <item x="16"/>
        <item x="13"/>
        <item x="12"/>
        <item x="20"/>
        <item x="4"/>
        <item x="0"/>
      </items>
    </pivotField>
    <pivotField dataField="1" showAll="0" defaultSubtotal="0">
      <items count="456">
        <item x="72"/>
        <item x="365"/>
        <item x="151"/>
        <item x="64"/>
        <item x="236"/>
        <item x="218"/>
        <item x="391"/>
        <item x="118"/>
        <item x="17"/>
        <item x="33"/>
        <item x="51"/>
        <item x="143"/>
        <item x="7"/>
        <item x="178"/>
        <item x="272"/>
        <item x="11"/>
        <item x="61"/>
        <item x="41"/>
        <item x="27"/>
        <item x="181"/>
        <item x="294"/>
        <item x="89"/>
        <item x="338"/>
        <item x="60"/>
        <item x="223"/>
        <item x="301"/>
        <item x="77"/>
        <item x="26"/>
        <item x="5"/>
        <item x="107"/>
        <item x="24"/>
        <item x="88"/>
        <item x="291"/>
        <item x="206"/>
        <item x="98"/>
        <item x="196"/>
        <item x="65"/>
        <item x="153"/>
        <item x="329"/>
        <item x="3"/>
        <item x="177"/>
        <item x="145"/>
        <item x="188"/>
        <item x="104"/>
        <item x="289"/>
        <item x="132"/>
        <item x="230"/>
        <item x="254"/>
        <item x="191"/>
        <item x="57"/>
        <item x="109"/>
        <item x="171"/>
        <item x="308"/>
        <item x="283"/>
        <item x="299"/>
        <item x="193"/>
        <item x="150"/>
        <item x="211"/>
        <item x="22"/>
        <item x="164"/>
        <item x="108"/>
        <item x="285"/>
        <item x="157"/>
        <item x="67"/>
        <item x="23"/>
        <item x="237"/>
        <item x="14"/>
        <item x="267"/>
        <item x="312"/>
        <item x="56"/>
        <item x="2"/>
        <item x="1"/>
        <item x="99"/>
        <item x="163"/>
        <item x="158"/>
        <item x="9"/>
        <item x="141"/>
        <item x="44"/>
        <item x="217"/>
        <item x="222"/>
        <item x="235"/>
        <item x="6"/>
        <item x="199"/>
        <item x="135"/>
        <item x="173"/>
        <item x="74"/>
        <item x="34"/>
        <item x="95"/>
        <item x="219"/>
        <item x="187"/>
        <item x="66"/>
        <item x="40"/>
        <item x="10"/>
        <item x="114"/>
        <item x="162"/>
        <item x="130"/>
        <item x="62"/>
        <item x="317"/>
        <item x="18"/>
        <item x="8"/>
        <item x="100"/>
        <item x="70"/>
        <item x="202"/>
        <item x="241"/>
        <item x="112"/>
        <item x="278"/>
        <item x="422"/>
        <item x="28"/>
        <item x="321"/>
        <item x="253"/>
        <item x="182"/>
        <item x="120"/>
        <item x="426"/>
        <item x="415"/>
        <item x="194"/>
        <item x="71"/>
        <item x="270"/>
        <item x="420"/>
        <item x="48"/>
        <item x="140"/>
        <item x="35"/>
        <item x="358"/>
        <item x="123"/>
        <item x="38"/>
        <item x="116"/>
        <item x="21"/>
        <item x="126"/>
        <item x="168"/>
        <item x="54"/>
        <item x="73"/>
        <item x="337"/>
        <item x="91"/>
        <item x="290"/>
        <item x="354"/>
        <item x="271"/>
        <item x="43"/>
        <item x="232"/>
        <item x="263"/>
        <item x="190"/>
        <item x="245"/>
        <item x="261"/>
        <item x="138"/>
        <item x="46"/>
        <item x="340"/>
        <item x="373"/>
        <item x="146"/>
        <item x="347"/>
        <item x="279"/>
        <item x="269"/>
        <item x="414"/>
        <item x="307"/>
        <item x="320"/>
        <item x="68"/>
        <item x="102"/>
        <item x="50"/>
        <item x="408"/>
        <item x="175"/>
        <item x="248"/>
        <item x="169"/>
        <item x="325"/>
        <item x="39"/>
        <item x="332"/>
        <item x="115"/>
        <item x="31"/>
        <item x="53"/>
        <item x="148"/>
        <item x="318"/>
        <item x="172"/>
        <item x="205"/>
        <item x="139"/>
        <item x="19"/>
        <item x="409"/>
        <item x="147"/>
        <item x="15"/>
        <item x="378"/>
        <item x="197"/>
        <item x="233"/>
        <item x="94"/>
        <item x="399"/>
        <item x="303"/>
        <item x="45"/>
        <item x="215"/>
        <item x="93"/>
        <item x="36"/>
        <item x="363"/>
        <item x="302"/>
        <item x="255"/>
        <item x="160"/>
        <item x="16"/>
        <item x="331"/>
        <item x="86"/>
        <item x="167"/>
        <item x="386"/>
        <item x="111"/>
        <item x="185"/>
        <item x="92"/>
        <item x="330"/>
        <item x="103"/>
        <item x="252"/>
        <item x="49"/>
        <item x="375"/>
        <item x="265"/>
        <item x="129"/>
        <item x="240"/>
        <item x="176"/>
        <item x="136"/>
        <item x="385"/>
        <item x="201"/>
        <item x="424"/>
        <item x="225"/>
        <item x="134"/>
        <item x="79"/>
        <item x="192"/>
        <item x="30"/>
        <item x="113"/>
        <item x="105"/>
        <item x="184"/>
        <item x="282"/>
        <item x="313"/>
        <item x="300"/>
        <item x="13"/>
        <item x="251"/>
        <item x="410"/>
        <item x="274"/>
        <item x="335"/>
        <item x="80"/>
        <item x="32"/>
        <item x="63"/>
        <item x="128"/>
        <item x="441"/>
        <item x="260"/>
        <item x="166"/>
        <item x="159"/>
        <item x="393"/>
        <item x="264"/>
        <item x="174"/>
        <item x="144"/>
        <item x="165"/>
        <item x="239"/>
        <item x="76"/>
        <item x="137"/>
        <item x="349"/>
        <item x="90"/>
        <item x="374"/>
        <item x="47"/>
        <item x="209"/>
        <item x="179"/>
        <item x="345"/>
        <item x="402"/>
        <item x="183"/>
        <item x="155"/>
        <item x="29"/>
        <item x="82"/>
        <item x="284"/>
        <item x="156"/>
        <item x="12"/>
        <item x="266"/>
        <item x="124"/>
        <item x="425"/>
        <item x="243"/>
        <item x="452"/>
        <item x="350"/>
        <item x="127"/>
        <item x="110"/>
        <item x="154"/>
        <item x="360"/>
        <item x="78"/>
        <item x="231"/>
        <item x="398"/>
        <item x="214"/>
        <item x="259"/>
        <item x="348"/>
        <item x="101"/>
        <item x="384"/>
        <item x="249"/>
        <item x="226"/>
        <item x="403"/>
        <item x="250"/>
        <item x="122"/>
        <item x="367"/>
        <item x="97"/>
        <item x="87"/>
        <item x="357"/>
        <item x="437"/>
        <item x="207"/>
        <item x="439"/>
        <item x="392"/>
        <item x="58"/>
        <item x="287"/>
        <item x="85"/>
        <item x="311"/>
        <item x="224"/>
        <item x="59"/>
        <item x="238"/>
        <item x="359"/>
        <item x="125"/>
        <item x="208"/>
        <item x="42"/>
        <item x="277"/>
        <item x="75"/>
        <item x="200"/>
        <item x="406"/>
        <item x="288"/>
        <item x="244"/>
        <item x="324"/>
        <item x="257"/>
        <item x="84"/>
        <item x="380"/>
        <item x="339"/>
        <item x="25"/>
        <item x="419"/>
        <item x="322"/>
        <item x="306"/>
        <item x="429"/>
        <item x="390"/>
        <item x="213"/>
        <item x="276"/>
        <item x="396"/>
        <item x="258"/>
        <item x="121"/>
        <item x="212"/>
        <item x="247"/>
        <item x="293"/>
        <item x="298"/>
        <item x="455"/>
        <item x="401"/>
        <item x="198"/>
        <item x="119"/>
        <item x="305"/>
        <item x="442"/>
        <item x="342"/>
        <item x="189"/>
        <item x="281"/>
        <item x="152"/>
        <item x="434"/>
        <item x="323"/>
        <item x="343"/>
        <item x="133"/>
        <item x="4"/>
        <item x="370"/>
        <item x="256"/>
        <item x="432"/>
        <item x="310"/>
        <item x="220"/>
        <item x="388"/>
        <item x="353"/>
        <item x="328"/>
        <item x="275"/>
        <item x="316"/>
        <item x="297"/>
        <item x="83"/>
        <item x="246"/>
        <item x="436"/>
        <item x="228"/>
        <item x="81"/>
        <item x="366"/>
        <item x="341"/>
        <item x="69"/>
        <item x="106"/>
        <item x="273"/>
        <item x="229"/>
        <item x="221"/>
        <item x="96"/>
        <item x="352"/>
        <item x="428"/>
        <item x="327"/>
        <item x="369"/>
        <item x="411"/>
        <item x="292"/>
        <item x="405"/>
        <item x="444"/>
        <item x="315"/>
        <item x="268"/>
        <item x="377"/>
        <item x="431"/>
        <item x="423"/>
        <item x="412"/>
        <item x="407"/>
        <item x="204"/>
        <item x="450"/>
        <item x="356"/>
        <item x="389"/>
        <item x="296"/>
        <item x="427"/>
        <item x="416"/>
        <item x="383"/>
        <item x="371"/>
        <item x="446"/>
        <item x="379"/>
        <item x="262"/>
        <item x="418"/>
        <item x="234"/>
        <item x="440"/>
        <item x="142"/>
        <item x="355"/>
        <item x="286"/>
        <item x="52"/>
        <item x="361"/>
        <item x="362"/>
        <item x="382"/>
        <item x="400"/>
        <item x="55"/>
        <item x="449"/>
        <item x="20"/>
        <item x="344"/>
        <item x="387"/>
        <item x="395"/>
        <item x="372"/>
        <item x="309"/>
        <item x="447"/>
        <item x="368"/>
        <item x="346"/>
        <item x="430"/>
        <item x="364"/>
        <item x="0"/>
        <item x="376"/>
        <item x="304"/>
        <item x="438"/>
        <item x="242"/>
        <item x="448"/>
        <item x="227"/>
        <item x="333"/>
        <item x="170"/>
        <item x="417"/>
        <item x="161"/>
        <item x="435"/>
        <item x="334"/>
        <item x="295"/>
        <item x="413"/>
        <item x="394"/>
        <item x="180"/>
        <item x="210"/>
        <item x="117"/>
        <item x="336"/>
        <item x="186"/>
        <item x="131"/>
        <item x="421"/>
        <item x="280"/>
        <item x="404"/>
        <item x="37"/>
        <item x="451"/>
        <item x="216"/>
        <item x="454"/>
        <item x="319"/>
        <item x="149"/>
        <item x="397"/>
        <item x="314"/>
        <item x="445"/>
        <item x="351"/>
        <item x="195"/>
        <item x="326"/>
        <item x="203"/>
        <item x="433"/>
        <item x="381"/>
        <item x="453"/>
        <item x="443"/>
      </items>
    </pivotField>
    <pivotField dataField="1" showAll="0" defaultSubtotal="0">
      <items count="13">
        <item x="1"/>
        <item x="6"/>
        <item x="0"/>
        <item x="7"/>
        <item x="3"/>
        <item x="2"/>
        <item x="11"/>
        <item x="10"/>
        <item x="12"/>
        <item x="8"/>
        <item x="4"/>
        <item x="5"/>
        <item x="9"/>
      </items>
    </pivotField>
  </pivotFields>
  <rowFields count="3">
    <field x="2"/>
    <field x="6"/>
    <field x="5"/>
  </rowFields>
  <rowItems count="1730">
    <i>
      <x/>
    </i>
    <i r="1">
      <x/>
      <x v="78"/>
    </i>
    <i r="1">
      <x v="1"/>
      <x v="100"/>
    </i>
    <i r="1">
      <x v="2"/>
      <x v="109"/>
    </i>
    <i r="1">
      <x v="3"/>
      <x v="93"/>
    </i>
    <i r="1">
      <x v="4"/>
      <x v="77"/>
    </i>
    <i r="1">
      <x v="5"/>
      <x v="95"/>
    </i>
    <i r="1">
      <x v="6"/>
      <x v="92"/>
    </i>
    <i r="1">
      <x v="7"/>
      <x v="99"/>
    </i>
    <i r="1">
      <x v="8"/>
      <x v="74"/>
    </i>
    <i r="1">
      <x v="9"/>
      <x v="107"/>
    </i>
    <i r="1">
      <x v="10"/>
      <x v="79"/>
    </i>
    <i r="1">
      <x v="11"/>
      <x v="94"/>
    </i>
    <i r="1">
      <x v="12"/>
      <x v="80"/>
    </i>
    <i r="1">
      <x v="13"/>
      <x v="76"/>
    </i>
    <i r="1">
      <x v="14"/>
      <x v="65"/>
    </i>
    <i r="1">
      <x v="15"/>
      <x v="9"/>
    </i>
    <i r="1">
      <x v="16"/>
      <x v="1"/>
    </i>
    <i r="1">
      <x v="17"/>
      <x v="83"/>
    </i>
    <i r="1">
      <x v="18"/>
      <x v="59"/>
    </i>
    <i r="1">
      <x v="19"/>
      <x v="58"/>
    </i>
    <i t="blank">
      <x/>
    </i>
    <i>
      <x v="1"/>
    </i>
    <i r="1">
      <x/>
      <x v="78"/>
    </i>
    <i r="1">
      <x v="1"/>
      <x v="92"/>
    </i>
    <i r="1">
      <x v="2"/>
      <x v="93"/>
    </i>
    <i r="1">
      <x v="3"/>
      <x v="100"/>
    </i>
    <i r="1">
      <x v="4"/>
      <x v="95"/>
    </i>
    <i r="1">
      <x v="5"/>
      <x v="109"/>
    </i>
    <i r="1">
      <x v="6"/>
      <x v="77"/>
    </i>
    <i r="1">
      <x v="7"/>
      <x v="94"/>
    </i>
    <i r="1">
      <x v="8"/>
      <x v="83"/>
    </i>
    <i r="1">
      <x v="9"/>
      <x v="74"/>
    </i>
    <i r="1">
      <x v="10"/>
      <x v="76"/>
    </i>
    <i r="1">
      <x v="11"/>
      <x v="58"/>
    </i>
    <i r="1">
      <x v="12"/>
      <x v="87"/>
    </i>
    <i r="1">
      <x v="13"/>
      <x v="80"/>
    </i>
    <i r="1">
      <x v="14"/>
      <x v="99"/>
    </i>
    <i r="1">
      <x v="15"/>
      <x v="107"/>
    </i>
    <i r="1">
      <x v="16"/>
      <x v="79"/>
    </i>
    <i r="1">
      <x v="17"/>
      <x v="59"/>
    </i>
    <i r="1">
      <x v="18"/>
      <x v="65"/>
    </i>
    <i r="1">
      <x v="19"/>
      <x v="115"/>
    </i>
    <i t="blank">
      <x v="1"/>
    </i>
    <i>
      <x v="2"/>
    </i>
    <i r="1">
      <x/>
      <x v="78"/>
    </i>
    <i r="1">
      <x v="1"/>
      <x v="93"/>
    </i>
    <i r="1">
      <x v="2"/>
      <x v="100"/>
    </i>
    <i r="1">
      <x v="3"/>
      <x v="92"/>
    </i>
    <i r="1">
      <x v="4"/>
      <x v="109"/>
    </i>
    <i r="1">
      <x v="5"/>
      <x v="95"/>
    </i>
    <i r="1">
      <x v="6"/>
      <x v="77"/>
    </i>
    <i r="1">
      <x v="7"/>
      <x v="94"/>
    </i>
    <i r="1">
      <x v="8"/>
      <x v="107"/>
    </i>
    <i r="1">
      <x v="9"/>
      <x v="74"/>
    </i>
    <i r="1">
      <x v="10"/>
      <x v="80"/>
    </i>
    <i r="1">
      <x v="11"/>
      <x v="23"/>
    </i>
    <i r="1">
      <x v="12"/>
      <x v="70"/>
    </i>
    <i r="1">
      <x v="13"/>
      <x v="9"/>
    </i>
    <i r="1">
      <x v="14"/>
      <x v="65"/>
    </i>
    <i r="1">
      <x v="15"/>
      <x v="76"/>
    </i>
    <i r="1">
      <x v="16"/>
      <x v="79"/>
    </i>
    <i r="1">
      <x v="17"/>
      <x v="59"/>
    </i>
    <i r="2">
      <x v="99"/>
    </i>
    <i r="1">
      <x v="19"/>
      <x v="11"/>
    </i>
    <i r="2">
      <x v="87"/>
    </i>
    <i t="blank">
      <x v="2"/>
    </i>
    <i>
      <x v="3"/>
    </i>
    <i r="1">
      <x/>
      <x v="78"/>
    </i>
    <i r="1">
      <x v="1"/>
      <x v="92"/>
    </i>
    <i r="1">
      <x v="2"/>
      <x v="93"/>
    </i>
    <i r="1">
      <x v="3"/>
      <x v="48"/>
    </i>
    <i r="1">
      <x v="4"/>
      <x v="109"/>
    </i>
    <i r="1">
      <x v="5"/>
      <x v="100"/>
    </i>
    <i r="1">
      <x v="6"/>
      <x v="77"/>
    </i>
    <i r="1">
      <x v="7"/>
      <x v="49"/>
    </i>
    <i r="1">
      <x v="8"/>
      <x v="95"/>
    </i>
    <i r="1">
      <x v="9"/>
      <x v="94"/>
    </i>
    <i r="2">
      <x v="107"/>
    </i>
    <i r="1">
      <x v="11"/>
      <x v="76"/>
    </i>
    <i r="2">
      <x v="83"/>
    </i>
    <i r="1">
      <x v="13"/>
      <x v="99"/>
    </i>
    <i r="1">
      <x v="14"/>
      <x v="79"/>
    </i>
    <i r="1">
      <x v="15"/>
      <x v="23"/>
    </i>
    <i r="1">
      <x v="16"/>
      <x v="74"/>
    </i>
    <i r="2">
      <x v="87"/>
    </i>
    <i r="1">
      <x v="18"/>
      <x v="53"/>
    </i>
    <i r="2">
      <x v="54"/>
    </i>
    <i t="blank">
      <x v="3"/>
    </i>
    <i>
      <x v="4"/>
    </i>
    <i r="1">
      <x/>
      <x v="78"/>
    </i>
    <i r="1">
      <x v="1"/>
      <x v="93"/>
    </i>
    <i r="1">
      <x v="2"/>
      <x v="100"/>
    </i>
    <i r="1">
      <x v="3"/>
      <x v="95"/>
    </i>
    <i r="1">
      <x v="4"/>
      <x v="65"/>
    </i>
    <i r="1">
      <x v="5"/>
      <x v="92"/>
    </i>
    <i r="1">
      <x v="6"/>
      <x v="109"/>
    </i>
    <i r="1">
      <x v="7"/>
      <x v="79"/>
    </i>
    <i r="1">
      <x v="8"/>
      <x v="94"/>
    </i>
    <i r="1">
      <x v="9"/>
      <x v="1"/>
    </i>
    <i r="2">
      <x v="99"/>
    </i>
    <i r="1">
      <x v="11"/>
      <x v="74"/>
    </i>
    <i r="2">
      <x v="96"/>
    </i>
    <i r="1">
      <x v="13"/>
      <x v="11"/>
    </i>
    <i r="2">
      <x v="107"/>
    </i>
    <i r="1">
      <x v="15"/>
      <x v="9"/>
    </i>
    <i r="2">
      <x v="77"/>
    </i>
    <i r="1">
      <x v="17"/>
      <x v="115"/>
    </i>
    <i r="1">
      <x v="18"/>
      <x v="91"/>
    </i>
    <i r="1">
      <x v="19"/>
      <x v="64"/>
    </i>
    <i t="blank">
      <x v="4"/>
    </i>
    <i>
      <x v="5"/>
    </i>
    <i r="1">
      <x/>
      <x v="92"/>
    </i>
    <i r="1">
      <x v="1"/>
      <x v="78"/>
    </i>
    <i r="1">
      <x v="2"/>
      <x v="87"/>
    </i>
    <i r="1">
      <x v="3"/>
      <x v="77"/>
    </i>
    <i r="1">
      <x v="4"/>
      <x v="58"/>
    </i>
    <i r="1">
      <x v="5"/>
      <x v="53"/>
    </i>
    <i r="1">
      <x v="6"/>
      <x v="84"/>
    </i>
    <i r="1">
      <x v="7"/>
      <x v="115"/>
    </i>
    <i r="1">
      <x v="8"/>
      <x v="100"/>
    </i>
    <i r="1">
      <x v="9"/>
      <x v="83"/>
    </i>
    <i r="1">
      <x v="10"/>
      <x v="76"/>
    </i>
    <i r="1">
      <x v="11"/>
      <x v="93"/>
    </i>
    <i r="1">
      <x v="12"/>
      <x v="37"/>
    </i>
    <i r="1">
      <x v="13"/>
      <x v="95"/>
    </i>
    <i r="1">
      <x v="14"/>
      <x v="42"/>
    </i>
    <i r="2">
      <x v="86"/>
    </i>
    <i r="1">
      <x v="16"/>
      <x v="85"/>
    </i>
    <i r="1">
      <x v="17"/>
      <x v="80"/>
    </i>
    <i r="1">
      <x v="18"/>
      <x v="52"/>
    </i>
    <i r="1">
      <x v="19"/>
      <x v="74"/>
    </i>
    <i t="blank">
      <x v="5"/>
    </i>
    <i>
      <x v="6"/>
    </i>
    <i r="1">
      <x/>
      <x v="78"/>
    </i>
    <i r="1">
      <x v="1"/>
      <x v="37"/>
    </i>
    <i r="1">
      <x v="2"/>
      <x v="95"/>
    </i>
    <i r="1">
      <x v="3"/>
      <x v="100"/>
    </i>
    <i r="1">
      <x v="4"/>
      <x v="93"/>
    </i>
    <i r="1">
      <x v="5"/>
      <x v="92"/>
    </i>
    <i r="1">
      <x v="6"/>
      <x v="74"/>
    </i>
    <i r="1">
      <x v="7"/>
      <x v="109"/>
    </i>
    <i r="1">
      <x v="8"/>
      <x v="99"/>
    </i>
    <i r="1">
      <x v="9"/>
      <x v="65"/>
    </i>
    <i r="1">
      <x v="10"/>
      <x/>
    </i>
    <i r="1">
      <x v="11"/>
      <x v="39"/>
    </i>
    <i r="1">
      <x v="12"/>
      <x v="33"/>
    </i>
    <i r="1">
      <x v="13"/>
      <x v="63"/>
    </i>
    <i r="1">
      <x v="14"/>
      <x v="8"/>
    </i>
    <i r="2">
      <x v="67"/>
    </i>
    <i r="2">
      <x v="107"/>
    </i>
    <i r="1">
      <x v="17"/>
      <x v="1"/>
    </i>
    <i r="2">
      <x v="76"/>
    </i>
    <i r="2">
      <x v="94"/>
    </i>
    <i r="2">
      <x v="98"/>
    </i>
    <i t="blank">
      <x v="6"/>
    </i>
    <i>
      <x v="7"/>
    </i>
    <i r="1">
      <x/>
      <x v="78"/>
    </i>
    <i r="1">
      <x v="1"/>
      <x v="95"/>
    </i>
    <i r="1">
      <x v="2"/>
      <x v="100"/>
    </i>
    <i r="1">
      <x v="3"/>
      <x v="93"/>
    </i>
    <i r="1">
      <x v="4"/>
      <x v="99"/>
    </i>
    <i r="1">
      <x v="5"/>
      <x v="74"/>
    </i>
    <i r="1">
      <x v="6"/>
      <x v="92"/>
    </i>
    <i r="1">
      <x v="7"/>
      <x v="65"/>
    </i>
    <i r="2">
      <x v="109"/>
    </i>
    <i r="1">
      <x v="9"/>
      <x v="9"/>
    </i>
    <i r="1">
      <x v="10"/>
      <x v="94"/>
    </i>
    <i r="1">
      <x v="11"/>
      <x v="11"/>
    </i>
    <i r="2">
      <x v="79"/>
    </i>
    <i r="1">
      <x v="13"/>
      <x v="58"/>
    </i>
    <i r="2">
      <x v="113"/>
    </i>
    <i r="1">
      <x v="15"/>
      <x v="33"/>
    </i>
    <i r="1">
      <x v="16"/>
      <x v="1"/>
    </i>
    <i r="1">
      <x v="17"/>
      <x/>
    </i>
    <i r="1">
      <x v="18"/>
      <x v="31"/>
    </i>
    <i r="2">
      <x v="37"/>
    </i>
    <i r="2">
      <x v="70"/>
    </i>
    <i t="blank">
      <x v="7"/>
    </i>
    <i>
      <x v="8"/>
    </i>
    <i r="1">
      <x/>
      <x v="78"/>
    </i>
    <i r="1">
      <x v="1"/>
      <x v="83"/>
    </i>
    <i r="1">
      <x v="2"/>
      <x v="77"/>
    </i>
    <i r="1">
      <x v="3"/>
      <x v="109"/>
    </i>
    <i r="1">
      <x v="4"/>
      <x v="92"/>
    </i>
    <i r="1">
      <x v="5"/>
      <x v="100"/>
    </i>
    <i r="1">
      <x v="6"/>
      <x v="58"/>
    </i>
    <i r="1">
      <x v="7"/>
      <x v="23"/>
    </i>
    <i r="1">
      <x v="8"/>
      <x v="74"/>
    </i>
    <i r="1">
      <x v="9"/>
      <x v="93"/>
    </i>
    <i r="1">
      <x v="10"/>
      <x v="59"/>
    </i>
    <i r="2">
      <x v="76"/>
    </i>
    <i r="2">
      <x v="107"/>
    </i>
    <i r="1">
      <x v="13"/>
      <x v="95"/>
    </i>
    <i r="1">
      <x v="14"/>
      <x v="87"/>
    </i>
    <i r="1">
      <x v="15"/>
      <x v="80"/>
    </i>
    <i r="1">
      <x v="16"/>
      <x v="86"/>
    </i>
    <i r="1">
      <x v="17"/>
      <x v="106"/>
    </i>
    <i r="1">
      <x v="18"/>
      <x v="85"/>
    </i>
    <i r="1">
      <x v="19"/>
      <x v="79"/>
    </i>
    <i t="blank">
      <x v="8"/>
    </i>
    <i>
      <x v="9"/>
    </i>
    <i r="1">
      <x/>
      <x v="78"/>
    </i>
    <i r="1">
      <x v="1"/>
      <x v="77"/>
    </i>
    <i r="1">
      <x v="2"/>
      <x v="92"/>
    </i>
    <i r="1">
      <x v="3"/>
      <x v="95"/>
    </i>
    <i r="1">
      <x v="4"/>
      <x v="58"/>
    </i>
    <i r="1">
      <x v="5"/>
      <x v="48"/>
    </i>
    <i r="1">
      <x v="6"/>
      <x v="74"/>
    </i>
    <i r="1">
      <x v="7"/>
      <x v="93"/>
    </i>
    <i r="1">
      <x v="8"/>
      <x v="67"/>
    </i>
    <i r="1">
      <x v="9"/>
      <x v="76"/>
    </i>
    <i r="1">
      <x v="10"/>
      <x v="53"/>
    </i>
    <i r="1">
      <x v="11"/>
      <x v="55"/>
    </i>
    <i r="1">
      <x v="12"/>
      <x v="72"/>
    </i>
    <i r="2">
      <x v="100"/>
    </i>
    <i r="1">
      <x v="14"/>
      <x v="49"/>
    </i>
    <i r="1">
      <x v="15"/>
      <x v="80"/>
    </i>
    <i r="1">
      <x v="16"/>
      <x v="94"/>
    </i>
    <i r="2">
      <x v="109"/>
    </i>
    <i r="1">
      <x v="18"/>
      <x v="1"/>
    </i>
    <i r="1">
      <x v="19"/>
      <x v="70"/>
    </i>
    <i r="2">
      <x v="107"/>
    </i>
    <i t="blank">
      <x v="9"/>
    </i>
    <i>
      <x v="10"/>
    </i>
    <i r="1">
      <x/>
      <x v="78"/>
    </i>
    <i r="1">
      <x v="1"/>
      <x v="100"/>
    </i>
    <i r="1">
      <x v="2"/>
      <x v="95"/>
    </i>
    <i r="1">
      <x v="3"/>
      <x v="33"/>
    </i>
    <i r="1">
      <x v="4"/>
      <x v="93"/>
    </i>
    <i r="1">
      <x v="5"/>
      <x v="109"/>
    </i>
    <i r="1">
      <x v="6"/>
      <x v="99"/>
    </i>
    <i r="1">
      <x v="7"/>
      <x v="40"/>
    </i>
    <i r="2">
      <x v="92"/>
    </i>
    <i r="1">
      <x v="9"/>
      <x v="63"/>
    </i>
    <i r="1">
      <x v="10"/>
      <x v="39"/>
    </i>
    <i r="1">
      <x v="11"/>
      <x v="9"/>
    </i>
    <i r="2">
      <x v="74"/>
    </i>
    <i r="1">
      <x v="13"/>
      <x v="11"/>
    </i>
    <i r="1">
      <x v="14"/>
      <x/>
    </i>
    <i r="2">
      <x v="38"/>
    </i>
    <i r="2">
      <x v="113"/>
    </i>
    <i r="1">
      <x v="17"/>
      <x v="35"/>
    </i>
    <i r="2">
      <x v="65"/>
    </i>
    <i r="2">
      <x v="76"/>
    </i>
    <i t="blank">
      <x v="10"/>
    </i>
    <i>
      <x v="11"/>
    </i>
    <i r="1">
      <x/>
      <x v="78"/>
    </i>
    <i r="1">
      <x v="1"/>
      <x v="100"/>
    </i>
    <i r="1">
      <x v="2"/>
      <x v="109"/>
    </i>
    <i r="1">
      <x v="3"/>
      <x v="93"/>
    </i>
    <i r="1">
      <x v="4"/>
      <x v="95"/>
    </i>
    <i r="1">
      <x v="5"/>
      <x v="99"/>
    </i>
    <i r="1">
      <x v="6"/>
      <x v="80"/>
    </i>
    <i r="1">
      <x v="7"/>
      <x v="79"/>
    </i>
    <i r="1">
      <x v="8"/>
      <x v="107"/>
    </i>
    <i r="1">
      <x v="9"/>
      <x v="92"/>
    </i>
    <i r="1">
      <x v="10"/>
      <x v="9"/>
    </i>
    <i r="1">
      <x v="11"/>
      <x v="76"/>
    </i>
    <i r="1">
      <x v="12"/>
      <x v="1"/>
    </i>
    <i r="2">
      <x v="74"/>
    </i>
    <i r="1">
      <x v="14"/>
      <x v="65"/>
    </i>
    <i r="1">
      <x v="15"/>
      <x v="94"/>
    </i>
    <i r="1">
      <x v="16"/>
      <x v="11"/>
    </i>
    <i r="1">
      <x v="17"/>
      <x v="96"/>
    </i>
    <i r="1">
      <x v="18"/>
      <x v="77"/>
    </i>
    <i r="1">
      <x v="19"/>
      <x v="98"/>
    </i>
    <i t="blank">
      <x v="11"/>
    </i>
    <i>
      <x v="12"/>
    </i>
    <i r="1">
      <x/>
      <x v="78"/>
    </i>
    <i r="1">
      <x v="1"/>
      <x v="23"/>
    </i>
    <i r="1">
      <x v="2"/>
      <x v="93"/>
    </i>
    <i r="1">
      <x v="3"/>
      <x v="92"/>
    </i>
    <i r="1">
      <x v="4"/>
      <x v="95"/>
    </i>
    <i r="1">
      <x v="5"/>
      <x v="59"/>
    </i>
    <i r="2">
      <x v="100"/>
    </i>
    <i r="1">
      <x v="7"/>
      <x v="109"/>
    </i>
    <i r="1">
      <x v="8"/>
      <x v="74"/>
    </i>
    <i r="1">
      <x v="9"/>
      <x v="65"/>
    </i>
    <i r="1">
      <x v="10"/>
      <x v="99"/>
    </i>
    <i r="1">
      <x v="11"/>
      <x v="77"/>
    </i>
    <i r="1">
      <x v="12"/>
      <x v="58"/>
    </i>
    <i r="1">
      <x v="13"/>
      <x v="79"/>
    </i>
    <i r="1">
      <x v="14"/>
      <x v="80"/>
    </i>
    <i r="1">
      <x v="15"/>
      <x v="53"/>
    </i>
    <i r="1">
      <x v="16"/>
      <x v="24"/>
    </i>
    <i r="1">
      <x v="17"/>
      <x v="76"/>
    </i>
    <i r="1">
      <x v="18"/>
      <x v="70"/>
    </i>
    <i r="1">
      <x v="19"/>
      <x v="15"/>
    </i>
    <i t="blank">
      <x v="12"/>
    </i>
    <i>
      <x v="13"/>
    </i>
    <i r="1">
      <x/>
      <x v="78"/>
    </i>
    <i r="1">
      <x v="1"/>
      <x v="95"/>
    </i>
    <i r="1">
      <x v="2"/>
      <x v="79"/>
    </i>
    <i r="1">
      <x v="3"/>
      <x v="100"/>
    </i>
    <i r="2">
      <x v="109"/>
    </i>
    <i r="1">
      <x v="5"/>
      <x v="65"/>
    </i>
    <i r="1">
      <x v="6"/>
      <x v="92"/>
    </i>
    <i r="1">
      <x v="7"/>
      <x v="74"/>
    </i>
    <i r="1">
      <x v="8"/>
      <x v="99"/>
    </i>
    <i r="1">
      <x v="9"/>
      <x v="93"/>
    </i>
    <i r="1">
      <x v="10"/>
      <x v="23"/>
    </i>
    <i r="1">
      <x v="11"/>
      <x v="32"/>
    </i>
    <i r="1">
      <x v="12"/>
      <x v="35"/>
    </i>
    <i r="1">
      <x v="13"/>
      <x v="28"/>
    </i>
    <i r="1">
      <x v="14"/>
      <x v="96"/>
    </i>
    <i r="1">
      <x v="15"/>
      <x v="76"/>
    </i>
    <i r="1">
      <x v="16"/>
      <x v="58"/>
    </i>
    <i r="2">
      <x v="70"/>
    </i>
    <i r="1">
      <x v="18"/>
      <x v="9"/>
    </i>
    <i r="1">
      <x v="19"/>
      <x v="111"/>
    </i>
    <i t="blank">
      <x v="13"/>
    </i>
    <i>
      <x v="14"/>
    </i>
    <i r="1">
      <x/>
      <x v="78"/>
    </i>
    <i r="1">
      <x v="1"/>
      <x v="100"/>
    </i>
    <i r="1">
      <x v="2"/>
      <x v="109"/>
    </i>
    <i r="1">
      <x v="3"/>
      <x v="95"/>
    </i>
    <i r="1">
      <x v="4"/>
      <x v="93"/>
    </i>
    <i r="1">
      <x v="5"/>
      <x v="74"/>
    </i>
    <i r="1">
      <x v="6"/>
      <x v="65"/>
    </i>
    <i r="1">
      <x v="7"/>
      <x v="99"/>
    </i>
    <i r="1">
      <x v="8"/>
      <x v="92"/>
    </i>
    <i r="1">
      <x v="9"/>
      <x v="79"/>
    </i>
    <i r="1">
      <x v="10"/>
      <x v="59"/>
    </i>
    <i r="1">
      <x v="11"/>
      <x v="11"/>
    </i>
    <i r="1">
      <x v="12"/>
      <x v="76"/>
    </i>
    <i r="2">
      <x v="96"/>
    </i>
    <i r="2">
      <x v="107"/>
    </i>
    <i r="1">
      <x v="15"/>
      <x v="77"/>
    </i>
    <i r="2">
      <x v="108"/>
    </i>
    <i r="1">
      <x v="17"/>
      <x v="70"/>
    </i>
    <i r="1">
      <x v="18"/>
      <x v="9"/>
    </i>
    <i r="1">
      <x v="19"/>
      <x v="1"/>
    </i>
    <i r="2">
      <x v="3"/>
    </i>
    <i r="2">
      <x v="15"/>
    </i>
    <i t="blank">
      <x v="14"/>
    </i>
    <i>
      <x v="15"/>
    </i>
    <i r="1">
      <x/>
      <x v="78"/>
    </i>
    <i r="1">
      <x v="1"/>
      <x v="100"/>
    </i>
    <i r="1">
      <x v="2"/>
      <x v="95"/>
    </i>
    <i r="1">
      <x v="3"/>
      <x v="109"/>
    </i>
    <i r="1">
      <x v="4"/>
      <x v="99"/>
    </i>
    <i r="1">
      <x v="5"/>
      <x v="23"/>
    </i>
    <i r="2">
      <x v="93"/>
    </i>
    <i r="1">
      <x v="7"/>
      <x v="79"/>
    </i>
    <i r="1">
      <x v="8"/>
      <x v="92"/>
    </i>
    <i r="1">
      <x v="9"/>
      <x v="74"/>
    </i>
    <i r="1">
      <x v="10"/>
      <x v="77"/>
    </i>
    <i r="1">
      <x v="11"/>
      <x v="107"/>
    </i>
    <i r="1">
      <x v="12"/>
      <x v="70"/>
    </i>
    <i r="1">
      <x v="13"/>
      <x v="80"/>
    </i>
    <i r="1">
      <x v="14"/>
      <x v="9"/>
    </i>
    <i r="1">
      <x v="15"/>
      <x v="65"/>
    </i>
    <i r="1">
      <x v="16"/>
      <x v="3"/>
    </i>
    <i r="2">
      <x v="76"/>
    </i>
    <i r="1">
      <x v="18"/>
      <x v="11"/>
    </i>
    <i r="2">
      <x v="15"/>
    </i>
    <i r="2">
      <x v="43"/>
    </i>
    <i r="2">
      <x v="98"/>
    </i>
    <i t="blank">
      <x v="15"/>
    </i>
    <i>
      <x v="16"/>
    </i>
    <i r="1">
      <x/>
      <x v="78"/>
    </i>
    <i r="1">
      <x v="1"/>
      <x v="100"/>
    </i>
    <i r="1">
      <x v="2"/>
      <x v="109"/>
    </i>
    <i r="1">
      <x v="3"/>
      <x v="95"/>
    </i>
    <i r="1">
      <x v="4"/>
      <x v="93"/>
    </i>
    <i r="1">
      <x v="5"/>
      <x v="107"/>
    </i>
    <i r="1">
      <x v="6"/>
      <x v="74"/>
    </i>
    <i r="1">
      <x v="7"/>
      <x v="79"/>
    </i>
    <i r="1">
      <x v="8"/>
      <x v="76"/>
    </i>
    <i r="2">
      <x v="92"/>
    </i>
    <i r="1">
      <x v="10"/>
      <x v="80"/>
    </i>
    <i r="1">
      <x v="11"/>
      <x v="77"/>
    </i>
    <i r="1">
      <x v="12"/>
      <x v="59"/>
    </i>
    <i r="1">
      <x v="13"/>
      <x v="94"/>
    </i>
    <i r="1">
      <x v="14"/>
      <x v="65"/>
    </i>
    <i r="2">
      <x v="99"/>
    </i>
    <i r="1">
      <x v="16"/>
      <x v="83"/>
    </i>
    <i r="1">
      <x v="17"/>
      <x v="70"/>
    </i>
    <i r="1">
      <x v="18"/>
      <x v="108"/>
    </i>
    <i r="1">
      <x v="19"/>
      <x v="67"/>
    </i>
    <i r="2">
      <x v="87"/>
    </i>
    <i t="blank">
      <x v="16"/>
    </i>
    <i>
      <x v="17"/>
    </i>
    <i r="1">
      <x/>
      <x v="78"/>
    </i>
    <i r="1">
      <x v="1"/>
      <x v="100"/>
    </i>
    <i r="1">
      <x v="2"/>
      <x v="109"/>
    </i>
    <i r="1">
      <x v="3"/>
      <x v="95"/>
    </i>
    <i r="1">
      <x v="4"/>
      <x v="99"/>
    </i>
    <i r="1">
      <x v="5"/>
      <x v="74"/>
    </i>
    <i r="1">
      <x v="6"/>
      <x v="80"/>
    </i>
    <i r="1">
      <x v="7"/>
      <x v="76"/>
    </i>
    <i r="2">
      <x v="92"/>
    </i>
    <i r="1">
      <x v="9"/>
      <x v="79"/>
    </i>
    <i r="2">
      <x v="93"/>
    </i>
    <i r="1">
      <x v="11"/>
      <x v="107"/>
    </i>
    <i r="1">
      <x v="12"/>
      <x v="108"/>
    </i>
    <i r="1">
      <x v="13"/>
      <x v="9"/>
    </i>
    <i r="1">
      <x v="14"/>
      <x v="77"/>
    </i>
    <i r="1">
      <x v="15"/>
      <x v="1"/>
    </i>
    <i r="1">
      <x v="16"/>
      <x v="70"/>
    </i>
    <i r="1">
      <x v="17"/>
      <x v="3"/>
    </i>
    <i r="1">
      <x v="18"/>
      <x v="58"/>
    </i>
    <i r="1">
      <x v="19"/>
      <x v="65"/>
    </i>
    <i t="blank">
      <x v="17"/>
    </i>
    <i>
      <x v="18"/>
    </i>
    <i r="1">
      <x/>
      <x v="78"/>
    </i>
    <i r="1">
      <x v="1"/>
      <x v="95"/>
    </i>
    <i r="1">
      <x v="2"/>
      <x v="109"/>
    </i>
    <i r="1">
      <x v="3"/>
      <x v="100"/>
    </i>
    <i r="1">
      <x v="4"/>
      <x v="93"/>
    </i>
    <i r="1">
      <x v="5"/>
      <x v="77"/>
    </i>
    <i r="1">
      <x v="6"/>
      <x v="92"/>
    </i>
    <i r="1">
      <x v="7"/>
      <x v="79"/>
    </i>
    <i r="1">
      <x v="8"/>
      <x v="99"/>
    </i>
    <i r="1">
      <x v="9"/>
      <x v="23"/>
    </i>
    <i r="1">
      <x v="10"/>
      <x v="74"/>
    </i>
    <i r="1">
      <x v="11"/>
      <x v="80"/>
    </i>
    <i r="2">
      <x v="107"/>
    </i>
    <i r="1">
      <x v="13"/>
      <x v="1"/>
    </i>
    <i r="1">
      <x v="14"/>
      <x v="59"/>
    </i>
    <i r="1">
      <x v="15"/>
      <x v="76"/>
    </i>
    <i r="1">
      <x v="16"/>
      <x v="98"/>
    </i>
    <i r="1">
      <x v="17"/>
      <x v="3"/>
    </i>
    <i r="2">
      <x v="58"/>
    </i>
    <i r="1">
      <x v="19"/>
      <x v="65"/>
    </i>
    <i t="blank">
      <x v="18"/>
    </i>
    <i>
      <x v="19"/>
    </i>
    <i r="1">
      <x/>
      <x v="78"/>
    </i>
    <i r="1">
      <x v="1"/>
      <x v="95"/>
    </i>
    <i r="1">
      <x v="2"/>
      <x v="100"/>
    </i>
    <i r="1">
      <x v="3"/>
      <x v="92"/>
    </i>
    <i r="1">
      <x v="4"/>
      <x v="74"/>
    </i>
    <i r="1">
      <x v="5"/>
      <x v="79"/>
    </i>
    <i r="1">
      <x v="6"/>
      <x v="99"/>
    </i>
    <i r="1">
      <x v="7"/>
      <x v="93"/>
    </i>
    <i r="1">
      <x v="8"/>
      <x v="65"/>
    </i>
    <i r="2">
      <x v="109"/>
    </i>
    <i r="1">
      <x v="10"/>
      <x v="70"/>
    </i>
    <i r="1">
      <x v="11"/>
      <x v="111"/>
    </i>
    <i r="1">
      <x v="12"/>
      <x v="63"/>
    </i>
    <i r="1">
      <x v="13"/>
      <x v="80"/>
    </i>
    <i r="1">
      <x v="14"/>
      <x v="108"/>
    </i>
    <i r="1">
      <x v="15"/>
      <x v="91"/>
    </i>
    <i r="1">
      <x v="16"/>
      <x v="76"/>
    </i>
    <i r="1">
      <x v="17"/>
      <x v="59"/>
    </i>
    <i r="2">
      <x v="96"/>
    </i>
    <i r="1">
      <x v="19"/>
      <x v="29"/>
    </i>
    <i t="blank">
      <x v="19"/>
    </i>
    <i>
      <x v="20"/>
    </i>
    <i r="1">
      <x/>
      <x v="78"/>
    </i>
    <i r="1">
      <x v="1"/>
      <x v="93"/>
    </i>
    <i r="1">
      <x v="2"/>
      <x v="92"/>
    </i>
    <i r="1">
      <x v="3"/>
      <x v="100"/>
    </i>
    <i r="1">
      <x v="4"/>
      <x v="55"/>
    </i>
    <i r="1">
      <x v="5"/>
      <x v="109"/>
    </i>
    <i r="1">
      <x v="6"/>
      <x v="83"/>
    </i>
    <i r="1">
      <x v="7"/>
      <x v="42"/>
    </i>
    <i r="1">
      <x v="8"/>
      <x v="95"/>
    </i>
    <i r="1">
      <x v="9"/>
      <x v="87"/>
    </i>
    <i r="1">
      <x v="10"/>
      <x v="53"/>
    </i>
    <i r="1">
      <x v="11"/>
      <x v="76"/>
    </i>
    <i r="1">
      <x v="12"/>
      <x v="77"/>
    </i>
    <i r="1">
      <x v="13"/>
      <x v="80"/>
    </i>
    <i r="1">
      <x v="14"/>
      <x v="58"/>
    </i>
    <i r="1">
      <x v="15"/>
      <x v="115"/>
    </i>
    <i r="1">
      <x v="16"/>
      <x v="94"/>
    </i>
    <i r="1">
      <x v="17"/>
      <x v="74"/>
    </i>
    <i r="1">
      <x v="18"/>
      <x v="56"/>
    </i>
    <i r="1">
      <x v="19"/>
      <x v="65"/>
    </i>
    <i t="blank">
      <x v="20"/>
    </i>
    <i>
      <x v="21"/>
    </i>
    <i r="1">
      <x/>
      <x v="78"/>
    </i>
    <i r="1">
      <x v="1"/>
      <x v="100"/>
    </i>
    <i r="1">
      <x v="2"/>
      <x v="77"/>
    </i>
    <i r="1">
      <x v="3"/>
      <x v="80"/>
    </i>
    <i r="1">
      <x v="4"/>
      <x v="93"/>
    </i>
    <i r="1">
      <x v="5"/>
      <x v="79"/>
    </i>
    <i r="1">
      <x v="6"/>
      <x v="109"/>
    </i>
    <i r="1">
      <x v="7"/>
      <x v="99"/>
    </i>
    <i r="1">
      <x v="8"/>
      <x v="9"/>
    </i>
    <i r="1">
      <x v="9"/>
      <x v="1"/>
    </i>
    <i r="2">
      <x v="74"/>
    </i>
    <i r="1">
      <x v="11"/>
      <x v="95"/>
    </i>
    <i r="1">
      <x v="12"/>
      <x v="23"/>
    </i>
    <i r="1">
      <x v="13"/>
      <x v="70"/>
    </i>
    <i r="1">
      <x v="14"/>
      <x v="11"/>
    </i>
    <i r="2">
      <x v="65"/>
    </i>
    <i r="2">
      <x v="92"/>
    </i>
    <i r="2">
      <x v="106"/>
    </i>
    <i r="1">
      <x v="18"/>
      <x v="107"/>
    </i>
    <i r="1">
      <x v="19"/>
      <x v="58"/>
    </i>
    <i r="2">
      <x v="66"/>
    </i>
    <i r="2">
      <x v="76"/>
    </i>
    <i t="blank">
      <x v="21"/>
    </i>
    <i>
      <x v="22"/>
    </i>
    <i r="1">
      <x/>
      <x v="78"/>
    </i>
    <i r="1">
      <x v="1"/>
      <x v="100"/>
    </i>
    <i r="1">
      <x v="2"/>
      <x v="95"/>
    </i>
    <i r="1">
      <x v="3"/>
      <x v="109"/>
    </i>
    <i r="1">
      <x v="4"/>
      <x v="99"/>
    </i>
    <i r="1">
      <x v="5"/>
      <x v="93"/>
    </i>
    <i r="1">
      <x v="6"/>
      <x v="65"/>
    </i>
    <i r="1">
      <x v="7"/>
      <x v="74"/>
    </i>
    <i r="1">
      <x v="8"/>
      <x v="44"/>
    </i>
    <i r="1">
      <x v="9"/>
      <x v="59"/>
    </i>
    <i r="2">
      <x v="70"/>
    </i>
    <i r="2">
      <x v="92"/>
    </i>
    <i r="1">
      <x v="12"/>
      <x v="1"/>
    </i>
    <i r="1">
      <x v="13"/>
      <x v="50"/>
    </i>
    <i r="2">
      <x v="77"/>
    </i>
    <i r="1">
      <x v="15"/>
      <x v="76"/>
    </i>
    <i r="1">
      <x v="16"/>
      <x v="79"/>
    </i>
    <i r="1">
      <x v="17"/>
      <x v="113"/>
    </i>
    <i r="1">
      <x v="18"/>
      <x/>
    </i>
    <i r="2">
      <x v="64"/>
    </i>
    <i t="blank">
      <x v="22"/>
    </i>
    <i>
      <x v="23"/>
    </i>
    <i r="1">
      <x/>
      <x v="78"/>
    </i>
    <i r="1">
      <x v="1"/>
      <x v="77"/>
    </i>
    <i r="1">
      <x v="2"/>
      <x v="100"/>
    </i>
    <i r="1">
      <x v="3"/>
      <x v="109"/>
    </i>
    <i r="1">
      <x v="4"/>
      <x v="95"/>
    </i>
    <i r="1">
      <x v="5"/>
      <x v="33"/>
    </i>
    <i r="1">
      <x v="6"/>
      <x v="93"/>
    </i>
    <i r="1">
      <x v="7"/>
      <x v="99"/>
    </i>
    <i r="1">
      <x v="8"/>
      <x v="80"/>
    </i>
    <i r="1">
      <x v="9"/>
      <x v="74"/>
    </i>
    <i r="1">
      <x v="10"/>
      <x v="79"/>
    </i>
    <i r="1">
      <x v="11"/>
      <x v="35"/>
    </i>
    <i r="1">
      <x v="12"/>
      <x v="92"/>
    </i>
    <i r="1">
      <x v="13"/>
      <x v="9"/>
    </i>
    <i r="2">
      <x v="65"/>
    </i>
    <i r="1">
      <x v="15"/>
      <x v="11"/>
    </i>
    <i r="1">
      <x v="16"/>
      <x v="23"/>
    </i>
    <i r="1">
      <x v="17"/>
      <x v="66"/>
    </i>
    <i r="1">
      <x v="18"/>
      <x v="7"/>
    </i>
    <i r="1">
      <x v="19"/>
      <x v="76"/>
    </i>
    <i t="blank">
      <x v="23"/>
    </i>
    <i>
      <x v="24"/>
    </i>
    <i r="1">
      <x/>
      <x v="94"/>
    </i>
    <i r="1">
      <x v="1"/>
      <x v="81"/>
    </i>
    <i r="1">
      <x v="2"/>
      <x v="92"/>
    </i>
    <i r="1">
      <x v="3"/>
      <x v="83"/>
    </i>
    <i r="1">
      <x v="4"/>
      <x v="93"/>
    </i>
    <i r="1">
      <x v="5"/>
      <x v="78"/>
    </i>
    <i r="1">
      <x v="6"/>
      <x v="77"/>
    </i>
    <i r="1">
      <x v="7"/>
      <x v="87"/>
    </i>
    <i r="1">
      <x v="8"/>
      <x v="115"/>
    </i>
    <i r="1">
      <x v="9"/>
      <x v="74"/>
    </i>
    <i r="1">
      <x v="10"/>
      <x v="86"/>
    </i>
    <i r="1">
      <x v="11"/>
      <x v="76"/>
    </i>
    <i r="1">
      <x v="12"/>
      <x v="85"/>
    </i>
    <i r="1">
      <x v="13"/>
      <x v="109"/>
    </i>
    <i r="1">
      <x v="14"/>
      <x v="100"/>
    </i>
    <i r="1">
      <x v="15"/>
      <x v="95"/>
    </i>
    <i r="1">
      <x v="16"/>
      <x v="59"/>
    </i>
    <i r="1">
      <x v="17"/>
      <x v="42"/>
    </i>
    <i r="1">
      <x v="18"/>
      <x v="80"/>
    </i>
    <i r="1">
      <x v="19"/>
      <x v="107"/>
    </i>
    <i t="blank">
      <x v="24"/>
    </i>
    <i>
      <x v="25"/>
    </i>
    <i r="1">
      <x/>
      <x v="83"/>
    </i>
    <i r="1">
      <x v="1"/>
      <x v="92"/>
    </i>
    <i r="1">
      <x v="2"/>
      <x v="78"/>
    </i>
    <i r="1">
      <x v="3"/>
      <x v="94"/>
    </i>
    <i r="1">
      <x v="4"/>
      <x v="77"/>
    </i>
    <i r="1">
      <x v="5"/>
      <x v="93"/>
    </i>
    <i r="1">
      <x v="6"/>
      <x v="47"/>
    </i>
    <i r="1">
      <x v="7"/>
      <x v="76"/>
    </i>
    <i r="1">
      <x v="8"/>
      <x v="87"/>
    </i>
    <i r="1">
      <x v="9"/>
      <x v="86"/>
    </i>
    <i r="1">
      <x v="10"/>
      <x v="85"/>
    </i>
    <i r="1">
      <x v="11"/>
      <x v="58"/>
    </i>
    <i r="1">
      <x v="12"/>
      <x v="115"/>
    </i>
    <i r="1">
      <x v="13"/>
      <x v="100"/>
    </i>
    <i r="1">
      <x v="14"/>
      <x v="74"/>
    </i>
    <i r="1">
      <x v="15"/>
      <x v="59"/>
    </i>
    <i r="1">
      <x v="16"/>
      <x v="46"/>
    </i>
    <i r="1">
      <x v="17"/>
      <x v="42"/>
    </i>
    <i r="1">
      <x v="18"/>
      <x v="81"/>
    </i>
    <i r="1">
      <x v="19"/>
      <x v="95"/>
    </i>
    <i t="blank">
      <x v="25"/>
    </i>
    <i>
      <x v="26"/>
    </i>
    <i r="1">
      <x/>
      <x v="100"/>
    </i>
    <i r="1">
      <x v="1"/>
      <x v="78"/>
    </i>
    <i r="1">
      <x v="2"/>
      <x v="109"/>
    </i>
    <i r="1">
      <x v="3"/>
      <x v="99"/>
    </i>
    <i r="1">
      <x v="4"/>
      <x v="93"/>
    </i>
    <i r="1">
      <x v="5"/>
      <x v="95"/>
    </i>
    <i r="1">
      <x v="6"/>
      <x v="77"/>
    </i>
    <i r="1">
      <x v="7"/>
      <x v="107"/>
    </i>
    <i r="1">
      <x v="8"/>
      <x v="74"/>
    </i>
    <i r="1">
      <x v="9"/>
      <x v="92"/>
    </i>
    <i r="1">
      <x v="10"/>
      <x v="79"/>
    </i>
    <i r="1">
      <x v="11"/>
      <x v="66"/>
    </i>
    <i r="1">
      <x v="12"/>
      <x v="1"/>
    </i>
    <i r="1">
      <x v="13"/>
      <x v="9"/>
    </i>
    <i r="1">
      <x v="14"/>
      <x v="11"/>
    </i>
    <i r="1">
      <x v="15"/>
      <x v="76"/>
    </i>
    <i r="1">
      <x v="16"/>
      <x v="80"/>
    </i>
    <i r="1">
      <x v="17"/>
      <x v="94"/>
    </i>
    <i r="1">
      <x v="18"/>
      <x/>
    </i>
    <i r="1">
      <x v="19"/>
      <x v="113"/>
    </i>
    <i t="blank">
      <x v="26"/>
    </i>
    <i>
      <x v="27"/>
    </i>
    <i r="1">
      <x/>
      <x v="100"/>
    </i>
    <i r="1">
      <x v="1"/>
      <x v="109"/>
    </i>
    <i r="1">
      <x v="2"/>
      <x v="92"/>
    </i>
    <i r="1">
      <x v="3"/>
      <x v="78"/>
    </i>
    <i r="1">
      <x v="4"/>
      <x v="93"/>
    </i>
    <i r="1">
      <x v="5"/>
      <x v="95"/>
    </i>
    <i r="1">
      <x v="6"/>
      <x v="74"/>
    </i>
    <i r="1">
      <x v="7"/>
      <x v="99"/>
    </i>
    <i r="1">
      <x v="8"/>
      <x v="94"/>
    </i>
    <i r="1">
      <x v="9"/>
      <x v="107"/>
    </i>
    <i r="1">
      <x v="10"/>
      <x v="76"/>
    </i>
    <i r="1">
      <x v="11"/>
      <x v="77"/>
    </i>
    <i r="1">
      <x v="12"/>
      <x v="65"/>
    </i>
    <i r="1">
      <x v="13"/>
      <x v="9"/>
    </i>
    <i r="1">
      <x v="14"/>
      <x v="82"/>
    </i>
    <i r="1">
      <x v="15"/>
      <x v="79"/>
    </i>
    <i r="1">
      <x v="16"/>
      <x v="96"/>
    </i>
    <i r="1">
      <x v="17"/>
      <x v="1"/>
    </i>
    <i r="2">
      <x v="11"/>
    </i>
    <i r="2">
      <x v="59"/>
    </i>
    <i t="blank">
      <x v="27"/>
    </i>
    <i>
      <x v="28"/>
    </i>
    <i r="1">
      <x/>
      <x v="100"/>
    </i>
    <i r="1">
      <x v="1"/>
      <x v="109"/>
    </i>
    <i r="1">
      <x v="2"/>
      <x v="78"/>
    </i>
    <i r="1">
      <x v="3"/>
      <x v="99"/>
    </i>
    <i r="1">
      <x v="4"/>
      <x v="95"/>
    </i>
    <i r="1">
      <x v="5"/>
      <x v="93"/>
    </i>
    <i r="1">
      <x v="6"/>
      <x v="66"/>
    </i>
    <i r="1">
      <x v="7"/>
      <x v="77"/>
    </i>
    <i r="1">
      <x v="8"/>
      <x v="1"/>
    </i>
    <i r="2">
      <x v="9"/>
    </i>
    <i r="2">
      <x v="113"/>
    </i>
    <i r="1">
      <x v="11"/>
      <x v="79"/>
    </i>
    <i r="1">
      <x v="12"/>
      <x v="11"/>
    </i>
    <i r="1">
      <x v="13"/>
      <x/>
    </i>
    <i r="1">
      <x v="14"/>
      <x v="107"/>
    </i>
    <i r="1">
      <x v="15"/>
      <x v="3"/>
    </i>
    <i r="2">
      <x v="74"/>
    </i>
    <i r="1">
      <x v="17"/>
      <x v="43"/>
    </i>
    <i r="1">
      <x v="18"/>
      <x v="8"/>
    </i>
    <i r="1">
      <x v="19"/>
      <x v="76"/>
    </i>
    <i t="blank">
      <x v="28"/>
    </i>
    <i>
      <x v="29"/>
    </i>
    <i r="1">
      <x/>
      <x v="100"/>
    </i>
    <i r="1">
      <x v="1"/>
      <x v="109"/>
    </i>
    <i r="1">
      <x v="2"/>
      <x v="78"/>
    </i>
    <i r="1">
      <x v="3"/>
      <x v="99"/>
    </i>
    <i r="1">
      <x v="4"/>
      <x v="79"/>
    </i>
    <i r="1">
      <x v="5"/>
      <x v="93"/>
    </i>
    <i r="1">
      <x v="6"/>
      <x v="95"/>
    </i>
    <i r="2">
      <x v="107"/>
    </i>
    <i r="1">
      <x v="8"/>
      <x v="74"/>
    </i>
    <i r="1">
      <x v="9"/>
      <x v="98"/>
    </i>
    <i r="1">
      <x v="10"/>
      <x v="77"/>
    </i>
    <i r="1">
      <x v="11"/>
      <x v="76"/>
    </i>
    <i r="1">
      <x v="12"/>
      <x v="9"/>
    </i>
    <i r="2">
      <x v="70"/>
    </i>
    <i r="2">
      <x v="94"/>
    </i>
    <i r="1">
      <x v="15"/>
      <x v="106"/>
    </i>
    <i r="1">
      <x v="16"/>
      <x/>
    </i>
    <i r="2">
      <x v="92"/>
    </i>
    <i r="2">
      <x v="108"/>
    </i>
    <i r="1">
      <x v="19"/>
      <x v="1"/>
    </i>
    <i r="2">
      <x v="59"/>
    </i>
    <i r="2">
      <x v="103"/>
    </i>
    <i t="blank">
      <x v="29"/>
    </i>
    <i>
      <x v="30"/>
    </i>
    <i r="1">
      <x/>
      <x v="100"/>
    </i>
    <i r="1">
      <x v="1"/>
      <x v="78"/>
    </i>
    <i r="1">
      <x v="2"/>
      <x v="109"/>
    </i>
    <i r="1">
      <x v="3"/>
      <x v="93"/>
    </i>
    <i r="1">
      <x v="4"/>
      <x v="99"/>
    </i>
    <i r="1">
      <x v="5"/>
      <x v="95"/>
    </i>
    <i r="1">
      <x v="6"/>
      <x v="66"/>
    </i>
    <i r="1">
      <x v="7"/>
      <x v="107"/>
    </i>
    <i r="1">
      <x v="8"/>
      <x v="74"/>
    </i>
    <i r="1">
      <x v="9"/>
      <x v="9"/>
    </i>
    <i r="1">
      <x v="10"/>
      <x v="1"/>
    </i>
    <i r="2">
      <x v="11"/>
    </i>
    <i r="2">
      <x v="77"/>
    </i>
    <i r="2">
      <x v="92"/>
    </i>
    <i r="1">
      <x v="14"/>
      <x v="79"/>
    </i>
    <i r="1">
      <x v="15"/>
      <x v="3"/>
    </i>
    <i r="2">
      <x v="65"/>
    </i>
    <i r="2">
      <x v="76"/>
    </i>
    <i r="1">
      <x v="18"/>
      <x v="98"/>
    </i>
    <i r="1">
      <x v="19"/>
      <x v="59"/>
    </i>
    <i r="2">
      <x v="113"/>
    </i>
    <i t="blank">
      <x v="30"/>
    </i>
    <i>
      <x v="31"/>
    </i>
    <i r="1">
      <x/>
      <x v="100"/>
    </i>
    <i r="1">
      <x v="1"/>
      <x v="109"/>
    </i>
    <i r="1">
      <x v="2"/>
      <x v="77"/>
    </i>
    <i r="1">
      <x v="3"/>
      <x v="78"/>
    </i>
    <i r="1">
      <x v="4"/>
      <x/>
    </i>
    <i r="1">
      <x v="5"/>
      <x v="66"/>
    </i>
    <i r="2">
      <x v="113"/>
    </i>
    <i r="1">
      <x v="7"/>
      <x v="3"/>
    </i>
    <i r="2">
      <x v="11"/>
    </i>
    <i r="1">
      <x v="9"/>
      <x v="43"/>
    </i>
    <i r="1">
      <x v="10"/>
      <x v="107"/>
    </i>
    <i r="1">
      <x v="11"/>
      <x v="99"/>
    </i>
    <i r="1">
      <x v="12"/>
      <x v="59"/>
    </i>
    <i r="1">
      <x v="13"/>
      <x v="74"/>
    </i>
    <i r="1">
      <x v="14"/>
      <x v="95"/>
    </i>
    <i r="1">
      <x v="15"/>
      <x v="93"/>
    </i>
    <i r="1">
      <x v="16"/>
      <x v="80"/>
    </i>
    <i r="1">
      <x v="17"/>
      <x v="65"/>
    </i>
    <i r="2">
      <x v="67"/>
    </i>
    <i r="2">
      <x v="70"/>
    </i>
    <i r="2">
      <x v="85"/>
    </i>
    <i t="blank">
      <x v="31"/>
    </i>
    <i>
      <x v="32"/>
    </i>
    <i r="1">
      <x/>
      <x v="100"/>
    </i>
    <i r="1">
      <x v="1"/>
      <x v="78"/>
    </i>
    <i r="1">
      <x v="2"/>
      <x v="109"/>
    </i>
    <i r="1">
      <x v="3"/>
      <x v="80"/>
    </i>
    <i r="1">
      <x v="4"/>
      <x v="93"/>
    </i>
    <i r="2">
      <x v="99"/>
    </i>
    <i r="1">
      <x v="6"/>
      <x v="95"/>
    </i>
    <i r="1">
      <x v="7"/>
      <x v="77"/>
    </i>
    <i r="1">
      <x v="8"/>
      <x v="1"/>
    </i>
    <i r="1">
      <x v="9"/>
      <x v="92"/>
    </i>
    <i r="2">
      <x v="107"/>
    </i>
    <i r="1">
      <x v="11"/>
      <x v="9"/>
    </i>
    <i r="1">
      <x v="12"/>
      <x v="76"/>
    </i>
    <i r="1">
      <x v="13"/>
      <x v="66"/>
    </i>
    <i r="2">
      <x v="106"/>
    </i>
    <i r="1">
      <x v="15"/>
      <x v="108"/>
    </i>
    <i r="1">
      <x v="16"/>
      <x v="7"/>
    </i>
    <i r="1">
      <x v="17"/>
      <x v="8"/>
    </i>
    <i r="2">
      <x v="70"/>
    </i>
    <i r="2">
      <x v="74"/>
    </i>
    <i r="2">
      <x v="98"/>
    </i>
    <i t="blank">
      <x v="32"/>
    </i>
    <i>
      <x v="33"/>
    </i>
    <i r="1">
      <x/>
      <x v="77"/>
    </i>
    <i r="1">
      <x v="1"/>
      <x v="78"/>
    </i>
    <i r="1">
      <x v="2"/>
      <x v="79"/>
    </i>
    <i r="1">
      <x v="3"/>
      <x v="33"/>
    </i>
    <i r="1">
      <x v="4"/>
      <x v="66"/>
    </i>
    <i r="1">
      <x v="5"/>
      <x v="1"/>
    </i>
    <i r="1">
      <x v="6"/>
      <x/>
    </i>
    <i r="1">
      <x v="7"/>
      <x v="19"/>
    </i>
    <i r="1">
      <x v="8"/>
      <x v="9"/>
    </i>
    <i r="1">
      <x v="9"/>
      <x v="113"/>
    </i>
    <i r="1">
      <x v="10"/>
      <x v="11"/>
    </i>
    <i r="2">
      <x v="95"/>
    </i>
    <i r="1">
      <x v="12"/>
      <x v="50"/>
    </i>
    <i r="1">
      <x v="13"/>
      <x v="35"/>
    </i>
    <i r="1">
      <x v="14"/>
      <x v="100"/>
    </i>
    <i r="1">
      <x v="15"/>
      <x v="8"/>
    </i>
    <i r="2">
      <x v="99"/>
    </i>
    <i r="1">
      <x v="17"/>
      <x v="2"/>
    </i>
    <i r="1">
      <x v="18"/>
      <x v="3"/>
    </i>
    <i r="2">
      <x v="5"/>
    </i>
    <i r="2">
      <x v="6"/>
    </i>
    <i r="2">
      <x v="21"/>
    </i>
    <i t="blank">
      <x v="33"/>
    </i>
    <i>
      <x v="34"/>
    </i>
    <i r="1">
      <x/>
      <x v="100"/>
    </i>
    <i r="1">
      <x v="1"/>
      <x v="78"/>
    </i>
    <i r="1">
      <x v="2"/>
      <x v="109"/>
    </i>
    <i r="1">
      <x v="3"/>
      <x v="93"/>
    </i>
    <i r="1">
      <x v="4"/>
      <x v="107"/>
    </i>
    <i r="1">
      <x v="5"/>
      <x v="74"/>
    </i>
    <i r="1">
      <x v="6"/>
      <x v="95"/>
    </i>
    <i r="1">
      <x v="7"/>
      <x v="77"/>
    </i>
    <i r="2">
      <x v="92"/>
    </i>
    <i r="2">
      <x v="99"/>
    </i>
    <i r="1">
      <x v="10"/>
      <x/>
    </i>
    <i r="1">
      <x v="11"/>
      <x v="9"/>
    </i>
    <i r="1">
      <x v="12"/>
      <x v="79"/>
    </i>
    <i r="1">
      <x v="13"/>
      <x v="1"/>
    </i>
    <i r="1">
      <x v="14"/>
      <x v="66"/>
    </i>
    <i r="1">
      <x v="15"/>
      <x v="106"/>
    </i>
    <i r="1">
      <x v="16"/>
      <x v="113"/>
    </i>
    <i r="1">
      <x v="17"/>
      <x v="76"/>
    </i>
    <i r="1">
      <x v="18"/>
      <x v="11"/>
    </i>
    <i r="1">
      <x v="19"/>
      <x v="65"/>
    </i>
    <i t="blank">
      <x v="34"/>
    </i>
    <i>
      <x v="35"/>
    </i>
    <i r="1">
      <x/>
      <x v="78"/>
    </i>
    <i r="1">
      <x v="1"/>
      <x v="100"/>
    </i>
    <i r="1">
      <x v="2"/>
      <x v="109"/>
    </i>
    <i r="1">
      <x v="3"/>
      <x v="93"/>
    </i>
    <i r="1">
      <x v="4"/>
      <x v="77"/>
    </i>
    <i r="1">
      <x v="5"/>
      <x v="107"/>
    </i>
    <i r="1">
      <x v="6"/>
      <x v="80"/>
    </i>
    <i r="1">
      <x v="7"/>
      <x v="95"/>
    </i>
    <i r="2">
      <x v="99"/>
    </i>
    <i r="1">
      <x v="9"/>
      <x v="92"/>
    </i>
    <i r="1">
      <x v="10"/>
      <x v="74"/>
    </i>
    <i r="1">
      <x v="11"/>
      <x v="76"/>
    </i>
    <i r="2">
      <x v="94"/>
    </i>
    <i r="1">
      <x v="13"/>
      <x v="11"/>
    </i>
    <i r="1">
      <x v="14"/>
      <x v="65"/>
    </i>
    <i r="1">
      <x v="15"/>
      <x v="106"/>
    </i>
    <i r="1">
      <x v="16"/>
      <x v="1"/>
    </i>
    <i r="2">
      <x v="64"/>
    </i>
    <i r="1">
      <x v="18"/>
      <x v="3"/>
    </i>
    <i r="1">
      <x v="19"/>
      <x v="98"/>
    </i>
    <i t="blank">
      <x v="35"/>
    </i>
    <i>
      <x v="36"/>
    </i>
    <i r="1">
      <x/>
      <x v="78"/>
    </i>
    <i r="1">
      <x v="1"/>
      <x v="100"/>
    </i>
    <i r="1">
      <x v="2"/>
      <x v="93"/>
    </i>
    <i r="1">
      <x v="3"/>
      <x v="109"/>
    </i>
    <i r="1">
      <x v="4"/>
      <x v="92"/>
    </i>
    <i r="1">
      <x v="5"/>
      <x v="107"/>
    </i>
    <i r="1">
      <x v="6"/>
      <x v="77"/>
    </i>
    <i r="2">
      <x v="95"/>
    </i>
    <i r="1">
      <x v="8"/>
      <x/>
    </i>
    <i r="2">
      <x v="74"/>
    </i>
    <i r="1">
      <x v="10"/>
      <x v="80"/>
    </i>
    <i r="1">
      <x v="11"/>
      <x v="94"/>
    </i>
    <i r="1">
      <x v="12"/>
      <x v="76"/>
    </i>
    <i r="1">
      <x v="13"/>
      <x v="99"/>
    </i>
    <i r="1">
      <x v="14"/>
      <x v="9"/>
    </i>
    <i r="1">
      <x v="15"/>
      <x v="79"/>
    </i>
    <i r="1">
      <x v="16"/>
      <x v="66"/>
    </i>
    <i r="2">
      <x v="98"/>
    </i>
    <i r="1">
      <x v="18"/>
      <x v="58"/>
    </i>
    <i r="1">
      <x v="19"/>
      <x v="3"/>
    </i>
    <i r="2">
      <x v="11"/>
    </i>
    <i r="2">
      <x v="65"/>
    </i>
    <i t="blank">
      <x v="36"/>
    </i>
    <i>
      <x v="37"/>
    </i>
    <i r="1">
      <x/>
      <x v="78"/>
    </i>
    <i r="1">
      <x v="1"/>
      <x v="100"/>
    </i>
    <i r="1">
      <x v="2"/>
      <x v="109"/>
    </i>
    <i r="1">
      <x v="3"/>
      <x v="77"/>
    </i>
    <i r="1">
      <x v="4"/>
      <x v="80"/>
    </i>
    <i r="1">
      <x v="5"/>
      <x v="107"/>
    </i>
    <i r="1">
      <x v="6"/>
      <x v="93"/>
    </i>
    <i r="1">
      <x v="7"/>
      <x v="92"/>
    </i>
    <i r="1">
      <x v="8"/>
      <x v="99"/>
    </i>
    <i r="1">
      <x v="9"/>
      <x v="76"/>
    </i>
    <i r="1">
      <x v="10"/>
      <x v="95"/>
    </i>
    <i r="1">
      <x v="11"/>
      <x v="74"/>
    </i>
    <i r="1">
      <x v="12"/>
      <x v="87"/>
    </i>
    <i r="1">
      <x v="13"/>
      <x v="1"/>
    </i>
    <i r="1">
      <x v="14"/>
      <x v="53"/>
    </i>
    <i r="2">
      <x v="59"/>
    </i>
    <i r="2">
      <x v="106"/>
    </i>
    <i r="1">
      <x v="17"/>
      <x v="58"/>
    </i>
    <i r="1">
      <x v="18"/>
      <x v="65"/>
    </i>
    <i r="1">
      <x v="19"/>
      <x v="9"/>
    </i>
    <i t="blank">
      <x v="37"/>
    </i>
    <i>
      <x v="38"/>
    </i>
    <i r="1">
      <x/>
      <x v="78"/>
    </i>
    <i r="1">
      <x v="1"/>
      <x v="77"/>
    </i>
    <i r="1">
      <x v="2"/>
      <x v="79"/>
    </i>
    <i r="1">
      <x v="3"/>
      <x v="100"/>
    </i>
    <i r="1">
      <x v="4"/>
      <x v="93"/>
    </i>
    <i r="1">
      <x v="5"/>
      <x v="94"/>
    </i>
    <i r="1">
      <x v="6"/>
      <x v="107"/>
    </i>
    <i r="2">
      <x v="109"/>
    </i>
    <i r="1">
      <x v="8"/>
      <x v="17"/>
    </i>
    <i r="2">
      <x v="95"/>
    </i>
    <i r="1">
      <x v="10"/>
      <x v="99"/>
    </i>
    <i r="1">
      <x v="11"/>
      <x v="15"/>
    </i>
    <i r="1">
      <x v="12"/>
      <x v="92"/>
    </i>
    <i r="1">
      <x v="13"/>
      <x v="74"/>
    </i>
    <i r="1">
      <x v="14"/>
      <x v="80"/>
    </i>
    <i r="1">
      <x v="15"/>
      <x v="115"/>
    </i>
    <i r="1">
      <x v="16"/>
      <x v="9"/>
    </i>
    <i r="1">
      <x v="17"/>
      <x/>
    </i>
    <i r="2">
      <x v="113"/>
    </i>
    <i r="1">
      <x v="19"/>
      <x v="70"/>
    </i>
    <i t="blank">
      <x v="38"/>
    </i>
    <i>
      <x v="39"/>
    </i>
    <i r="1">
      <x/>
      <x v="100"/>
    </i>
    <i r="1">
      <x v="1"/>
      <x v="78"/>
    </i>
    <i r="1">
      <x v="2"/>
      <x v="109"/>
    </i>
    <i r="1">
      <x v="3"/>
      <x v="107"/>
    </i>
    <i r="1">
      <x v="4"/>
      <x v="99"/>
    </i>
    <i r="1">
      <x v="5"/>
      <x v="93"/>
    </i>
    <i r="2">
      <x v="95"/>
    </i>
    <i r="1">
      <x v="7"/>
      <x v="92"/>
    </i>
    <i r="1">
      <x v="8"/>
      <x v="74"/>
    </i>
    <i r="1">
      <x v="9"/>
      <x v="80"/>
    </i>
    <i r="1">
      <x v="10"/>
      <x v="77"/>
    </i>
    <i r="1">
      <x v="11"/>
      <x v="94"/>
    </i>
    <i r="1">
      <x v="12"/>
      <x v="66"/>
    </i>
    <i r="1">
      <x v="13"/>
      <x/>
    </i>
    <i r="1">
      <x v="14"/>
      <x v="1"/>
    </i>
    <i r="1">
      <x v="15"/>
      <x v="65"/>
    </i>
    <i r="1">
      <x v="16"/>
      <x v="98"/>
    </i>
    <i r="1">
      <x v="17"/>
      <x v="9"/>
    </i>
    <i r="1">
      <x v="18"/>
      <x v="76"/>
    </i>
    <i r="2">
      <x v="79"/>
    </i>
    <i t="blank">
      <x v="39"/>
    </i>
    <i>
      <x v="40"/>
    </i>
    <i r="1">
      <x/>
      <x v="79"/>
    </i>
    <i r="1">
      <x v="1"/>
      <x v="100"/>
    </i>
    <i r="1">
      <x v="2"/>
      <x v="78"/>
    </i>
    <i r="1">
      <x v="3"/>
      <x v="107"/>
    </i>
    <i r="1">
      <x v="4"/>
      <x v="99"/>
    </i>
    <i r="1">
      <x v="5"/>
      <x/>
    </i>
    <i r="2">
      <x v="109"/>
    </i>
    <i r="1">
      <x v="7"/>
      <x v="95"/>
    </i>
    <i r="1">
      <x v="8"/>
      <x v="66"/>
    </i>
    <i r="1">
      <x v="9"/>
      <x v="93"/>
    </i>
    <i r="1">
      <x v="10"/>
      <x v="113"/>
    </i>
    <i r="1">
      <x v="11"/>
      <x v="77"/>
    </i>
    <i r="1">
      <x v="12"/>
      <x v="74"/>
    </i>
    <i r="1">
      <x v="13"/>
      <x v="9"/>
    </i>
    <i r="2">
      <x v="106"/>
    </i>
    <i r="1">
      <x v="15"/>
      <x v="1"/>
    </i>
    <i r="1">
      <x v="16"/>
      <x v="92"/>
    </i>
    <i r="2">
      <x v="94"/>
    </i>
    <i r="1">
      <x v="18"/>
      <x v="36"/>
    </i>
    <i r="1">
      <x v="19"/>
      <x v="65"/>
    </i>
    <i t="blank">
      <x v="40"/>
    </i>
    <i>
      <x v="41"/>
    </i>
    <i r="1">
      <x/>
      <x v="78"/>
    </i>
    <i r="1">
      <x v="1"/>
      <x v="100"/>
    </i>
    <i r="1">
      <x v="2"/>
      <x v="93"/>
    </i>
    <i r="1">
      <x v="3"/>
      <x v="95"/>
    </i>
    <i r="1">
      <x v="4"/>
      <x v="99"/>
    </i>
    <i r="2">
      <x v="109"/>
    </i>
    <i r="1">
      <x v="6"/>
      <x v="74"/>
    </i>
    <i r="1">
      <x v="7"/>
      <x v="9"/>
    </i>
    <i r="1">
      <x v="8"/>
      <x v="107"/>
    </i>
    <i r="1">
      <x v="9"/>
      <x v="92"/>
    </i>
    <i r="1">
      <x v="10"/>
      <x v="1"/>
    </i>
    <i r="2">
      <x v="79"/>
    </i>
    <i r="1">
      <x v="12"/>
      <x v="11"/>
    </i>
    <i r="1">
      <x v="13"/>
      <x v="77"/>
    </i>
    <i r="2">
      <x v="94"/>
    </i>
    <i r="1">
      <x v="15"/>
      <x v="23"/>
    </i>
    <i r="2">
      <x v="80"/>
    </i>
    <i r="1">
      <x v="17"/>
      <x v="65"/>
    </i>
    <i r="1">
      <x v="18"/>
      <x v="3"/>
    </i>
    <i r="1">
      <x v="19"/>
      <x v="15"/>
    </i>
    <i r="2">
      <x v="70"/>
    </i>
    <i t="blank">
      <x v="41"/>
    </i>
    <i>
      <x v="42"/>
    </i>
    <i r="1">
      <x/>
      <x v="100"/>
    </i>
    <i r="1">
      <x v="1"/>
      <x v="78"/>
    </i>
    <i r="1">
      <x v="2"/>
      <x v="109"/>
    </i>
    <i r="1">
      <x v="3"/>
      <x v="95"/>
    </i>
    <i r="1">
      <x v="4"/>
      <x v="107"/>
    </i>
    <i r="1">
      <x v="5"/>
      <x v="99"/>
    </i>
    <i r="1">
      <x v="6"/>
      <x v="93"/>
    </i>
    <i r="1">
      <x v="7"/>
      <x v="80"/>
    </i>
    <i r="1">
      <x v="8"/>
      <x v="74"/>
    </i>
    <i r="1">
      <x v="9"/>
      <x v="92"/>
    </i>
    <i r="1">
      <x v="10"/>
      <x/>
    </i>
    <i r="2">
      <x v="66"/>
    </i>
    <i r="1">
      <x v="12"/>
      <x v="1"/>
    </i>
    <i r="1">
      <x v="13"/>
      <x v="3"/>
    </i>
    <i r="2">
      <x v="76"/>
    </i>
    <i r="2">
      <x v="98"/>
    </i>
    <i r="1">
      <x v="16"/>
      <x v="77"/>
    </i>
    <i r="1">
      <x v="17"/>
      <x v="59"/>
    </i>
    <i r="1">
      <x v="18"/>
      <x v="11"/>
    </i>
    <i r="1">
      <x v="19"/>
      <x v="106"/>
    </i>
    <i t="blank">
      <x v="42"/>
    </i>
    <i>
      <x v="43"/>
    </i>
    <i r="1">
      <x/>
      <x v="78"/>
    </i>
    <i r="1">
      <x v="1"/>
      <x v="100"/>
    </i>
    <i r="1">
      <x v="2"/>
      <x v="109"/>
    </i>
    <i r="1">
      <x v="3"/>
      <x v="77"/>
    </i>
    <i r="1">
      <x v="4"/>
      <x v="107"/>
    </i>
    <i r="1">
      <x v="5"/>
      <x v="80"/>
    </i>
    <i r="2">
      <x v="93"/>
    </i>
    <i r="1">
      <x v="7"/>
      <x v="99"/>
    </i>
    <i r="1">
      <x v="8"/>
      <x v="92"/>
    </i>
    <i r="1">
      <x v="9"/>
      <x v="95"/>
    </i>
    <i r="1">
      <x v="10"/>
      <x v="79"/>
    </i>
    <i r="1">
      <x v="11"/>
      <x v="66"/>
    </i>
    <i r="1">
      <x v="12"/>
      <x v="94"/>
    </i>
    <i r="1">
      <x v="13"/>
      <x v="76"/>
    </i>
    <i r="1">
      <x v="14"/>
      <x/>
    </i>
    <i r="1">
      <x v="15"/>
      <x v="74"/>
    </i>
    <i r="1">
      <x v="16"/>
      <x v="1"/>
    </i>
    <i r="1">
      <x v="17"/>
      <x v="65"/>
    </i>
    <i r="1">
      <x v="18"/>
      <x v="106"/>
    </i>
    <i r="1">
      <x v="19"/>
      <x v="9"/>
    </i>
    <i t="blank">
      <x v="43"/>
    </i>
    <i>
      <x v="44"/>
    </i>
    <i r="1">
      <x/>
      <x v="78"/>
    </i>
    <i r="1">
      <x v="1"/>
      <x v="100"/>
    </i>
    <i r="1">
      <x v="2"/>
      <x v="109"/>
    </i>
    <i r="1">
      <x v="3"/>
      <x v="77"/>
    </i>
    <i r="1">
      <x v="4"/>
      <x v="33"/>
    </i>
    <i r="1">
      <x v="5"/>
      <x v="95"/>
    </i>
    <i r="1">
      <x v="6"/>
      <x v="99"/>
    </i>
    <i r="1">
      <x v="7"/>
      <x v="107"/>
    </i>
    <i r="1">
      <x v="8"/>
      <x v="93"/>
    </i>
    <i r="1">
      <x v="9"/>
      <x/>
    </i>
    <i r="1">
      <x v="10"/>
      <x v="74"/>
    </i>
    <i r="1">
      <x v="11"/>
      <x v="79"/>
    </i>
    <i r="1">
      <x v="12"/>
      <x v="80"/>
    </i>
    <i r="1">
      <x v="13"/>
      <x v="41"/>
    </i>
    <i r="1">
      <x v="14"/>
      <x v="94"/>
    </i>
    <i r="1">
      <x v="15"/>
      <x v="92"/>
    </i>
    <i r="1">
      <x v="16"/>
      <x v="34"/>
    </i>
    <i r="2">
      <x v="35"/>
    </i>
    <i r="2">
      <x v="65"/>
    </i>
    <i r="1">
      <x v="19"/>
      <x v="113"/>
    </i>
    <i t="blank">
      <x v="44"/>
    </i>
    <i>
      <x v="45"/>
    </i>
    <i r="1">
      <x/>
      <x v="17"/>
    </i>
    <i r="1">
      <x v="1"/>
      <x v="100"/>
    </i>
    <i r="1">
      <x v="2"/>
      <x v="78"/>
    </i>
    <i r="2">
      <x v="109"/>
    </i>
    <i r="1">
      <x v="4"/>
      <x v="99"/>
    </i>
    <i r="1">
      <x v="5"/>
      <x v="95"/>
    </i>
    <i r="1">
      <x v="6"/>
      <x v="92"/>
    </i>
    <i r="1">
      <x v="7"/>
      <x v="93"/>
    </i>
    <i r="2">
      <x v="94"/>
    </i>
    <i r="1">
      <x v="9"/>
      <x v="59"/>
    </i>
    <i r="1">
      <x v="10"/>
      <x v="66"/>
    </i>
    <i r="1">
      <x v="11"/>
      <x/>
    </i>
    <i r="1">
      <x v="12"/>
      <x v="65"/>
    </i>
    <i r="2">
      <x v="107"/>
    </i>
    <i r="1">
      <x v="14"/>
      <x v="74"/>
    </i>
    <i r="2">
      <x v="77"/>
    </i>
    <i r="1">
      <x v="16"/>
      <x v="9"/>
    </i>
    <i r="1">
      <x v="17"/>
      <x v="79"/>
    </i>
    <i r="1">
      <x v="18"/>
      <x v="113"/>
    </i>
    <i r="1">
      <x v="19"/>
      <x v="1"/>
    </i>
    <i r="2">
      <x v="70"/>
    </i>
    <i t="blank">
      <x v="45"/>
    </i>
    <i>
      <x v="46"/>
    </i>
    <i r="1">
      <x/>
      <x v="78"/>
    </i>
    <i r="1">
      <x v="1"/>
      <x v="79"/>
    </i>
    <i r="1">
      <x v="2"/>
      <x v="100"/>
    </i>
    <i r="1">
      <x v="3"/>
      <x v="77"/>
    </i>
    <i r="2">
      <x v="109"/>
    </i>
    <i r="1">
      <x v="5"/>
      <x v="107"/>
    </i>
    <i r="1">
      <x v="6"/>
      <x/>
    </i>
    <i r="1">
      <x v="7"/>
      <x v="74"/>
    </i>
    <i r="2">
      <x v="95"/>
    </i>
    <i r="1">
      <x v="9"/>
      <x v="99"/>
    </i>
    <i r="1">
      <x v="10"/>
      <x v="80"/>
    </i>
    <i r="1">
      <x v="11"/>
      <x v="66"/>
    </i>
    <i r="1">
      <x v="12"/>
      <x v="92"/>
    </i>
    <i r="1">
      <x v="13"/>
      <x v="106"/>
    </i>
    <i r="1">
      <x v="14"/>
      <x v="58"/>
    </i>
    <i r="1">
      <x v="15"/>
      <x v="9"/>
    </i>
    <i r="1">
      <x v="16"/>
      <x v="1"/>
    </i>
    <i r="2">
      <x v="65"/>
    </i>
    <i r="2">
      <x v="87"/>
    </i>
    <i r="2">
      <x v="113"/>
    </i>
    <i t="blank">
      <x v="46"/>
    </i>
    <i>
      <x v="47"/>
    </i>
    <i r="1">
      <x/>
      <x v="100"/>
    </i>
    <i r="1">
      <x v="1"/>
      <x v="78"/>
    </i>
    <i r="1">
      <x v="2"/>
      <x v="93"/>
    </i>
    <i r="1">
      <x v="3"/>
      <x v="99"/>
    </i>
    <i r="1">
      <x v="4"/>
      <x v="95"/>
    </i>
    <i r="1">
      <x v="5"/>
      <x v="109"/>
    </i>
    <i r="1">
      <x v="6"/>
      <x v="77"/>
    </i>
    <i r="1">
      <x v="7"/>
      <x v="92"/>
    </i>
    <i r="1">
      <x v="8"/>
      <x v="79"/>
    </i>
    <i r="1">
      <x v="9"/>
      <x v="107"/>
    </i>
    <i r="1">
      <x v="10"/>
      <x v="74"/>
    </i>
    <i r="1">
      <x v="11"/>
      <x v="9"/>
    </i>
    <i r="1">
      <x v="12"/>
      <x v="11"/>
    </i>
    <i r="1">
      <x v="13"/>
      <x v="65"/>
    </i>
    <i r="1">
      <x v="14"/>
      <x v="66"/>
    </i>
    <i r="1">
      <x v="15"/>
      <x v="80"/>
    </i>
    <i r="1">
      <x v="16"/>
      <x v="1"/>
    </i>
    <i r="2">
      <x v="76"/>
    </i>
    <i r="1">
      <x v="18"/>
      <x v="64"/>
    </i>
    <i r="1">
      <x v="19"/>
      <x v="106"/>
    </i>
    <i t="blank">
      <x v="47"/>
    </i>
    <i>
      <x v="48"/>
    </i>
    <i r="1">
      <x/>
      <x v="100"/>
    </i>
    <i r="1">
      <x v="1"/>
      <x v="78"/>
    </i>
    <i r="1">
      <x v="2"/>
      <x v="107"/>
    </i>
    <i r="1">
      <x v="3"/>
      <x v="109"/>
    </i>
    <i r="1">
      <x v="4"/>
      <x v="79"/>
    </i>
    <i r="1">
      <x v="5"/>
      <x v="95"/>
    </i>
    <i r="1">
      <x v="6"/>
      <x v="74"/>
    </i>
    <i r="1">
      <x v="7"/>
      <x/>
    </i>
    <i r="1">
      <x v="8"/>
      <x v="66"/>
    </i>
    <i r="1">
      <x v="9"/>
      <x v="65"/>
    </i>
    <i r="2">
      <x v="77"/>
    </i>
    <i r="1">
      <x v="11"/>
      <x v="99"/>
    </i>
    <i r="1">
      <x v="12"/>
      <x v="106"/>
    </i>
    <i r="1">
      <x v="13"/>
      <x v="98"/>
    </i>
    <i r="1">
      <x v="14"/>
      <x v="1"/>
    </i>
    <i r="2">
      <x v="64"/>
    </i>
    <i r="2">
      <x v="93"/>
    </i>
    <i r="1">
      <x v="17"/>
      <x v="9"/>
    </i>
    <i r="2">
      <x v="59"/>
    </i>
    <i r="1">
      <x v="19"/>
      <x v="70"/>
    </i>
    <i t="blank">
      <x v="48"/>
    </i>
    <i>
      <x v="49"/>
    </i>
    <i r="1">
      <x/>
      <x v="78"/>
    </i>
    <i r="1">
      <x v="1"/>
      <x v="100"/>
    </i>
    <i r="1">
      <x v="2"/>
      <x v="79"/>
    </i>
    <i r="1">
      <x v="3"/>
      <x v="77"/>
    </i>
    <i r="1">
      <x v="4"/>
      <x v="95"/>
    </i>
    <i r="1">
      <x v="5"/>
      <x v="109"/>
    </i>
    <i r="1">
      <x v="6"/>
      <x v="93"/>
    </i>
    <i r="1">
      <x v="7"/>
      <x v="99"/>
    </i>
    <i r="1">
      <x v="8"/>
      <x v="74"/>
    </i>
    <i r="1">
      <x v="9"/>
      <x v="66"/>
    </i>
    <i r="1">
      <x v="10"/>
      <x v="9"/>
    </i>
    <i r="1">
      <x v="11"/>
      <x v="92"/>
    </i>
    <i r="2">
      <x v="107"/>
    </i>
    <i r="1">
      <x v="13"/>
      <x v="1"/>
    </i>
    <i r="1">
      <x v="14"/>
      <x v="80"/>
    </i>
    <i r="1">
      <x v="15"/>
      <x v="3"/>
    </i>
    <i r="2">
      <x v="76"/>
    </i>
    <i r="1">
      <x v="17"/>
      <x/>
    </i>
    <i r="2">
      <x v="11"/>
    </i>
    <i r="2">
      <x v="33"/>
    </i>
    <i t="blank">
      <x v="49"/>
    </i>
    <i>
      <x v="50"/>
    </i>
    <i r="1">
      <x/>
      <x v="78"/>
    </i>
    <i r="1">
      <x v="1"/>
      <x v="77"/>
    </i>
    <i r="1">
      <x v="2"/>
      <x v="100"/>
    </i>
    <i r="1">
      <x v="3"/>
      <x v="79"/>
    </i>
    <i r="1">
      <x v="4"/>
      <x v="93"/>
    </i>
    <i r="1">
      <x v="5"/>
      <x v="99"/>
    </i>
    <i r="1">
      <x v="6"/>
      <x v="109"/>
    </i>
    <i r="1">
      <x v="7"/>
      <x v="95"/>
    </i>
    <i r="1">
      <x v="8"/>
      <x v="74"/>
    </i>
    <i r="1">
      <x v="9"/>
      <x v="33"/>
    </i>
    <i r="2">
      <x v="80"/>
    </i>
    <i r="1">
      <x v="11"/>
      <x v="1"/>
    </i>
    <i r="2">
      <x v="9"/>
    </i>
    <i r="1">
      <x v="13"/>
      <x v="66"/>
    </i>
    <i r="1">
      <x v="14"/>
      <x v="92"/>
    </i>
    <i r="1">
      <x v="15"/>
      <x v="107"/>
    </i>
    <i r="1">
      <x v="16"/>
      <x v="76"/>
    </i>
    <i r="1">
      <x v="17"/>
      <x v="3"/>
    </i>
    <i r="2">
      <x v="113"/>
    </i>
    <i r="1">
      <x v="19"/>
      <x v="65"/>
    </i>
    <i t="blank">
      <x v="50"/>
    </i>
    <i>
      <x v="51"/>
    </i>
    <i r="1">
      <x/>
      <x v="100"/>
    </i>
    <i r="1">
      <x v="1"/>
      <x v="78"/>
    </i>
    <i r="1">
      <x v="2"/>
      <x v="109"/>
    </i>
    <i r="1">
      <x v="3"/>
      <x v="107"/>
    </i>
    <i r="1">
      <x v="4"/>
      <x v="99"/>
    </i>
    <i r="1">
      <x v="5"/>
      <x v="66"/>
    </i>
    <i r="1">
      <x v="6"/>
      <x v="79"/>
    </i>
    <i r="1">
      <x v="7"/>
      <x v="74"/>
    </i>
    <i r="1">
      <x v="8"/>
      <x v="93"/>
    </i>
    <i r="1">
      <x v="9"/>
      <x v="95"/>
    </i>
    <i r="1">
      <x v="10"/>
      <x/>
    </i>
    <i r="1">
      <x v="11"/>
      <x v="77"/>
    </i>
    <i r="1">
      <x v="12"/>
      <x v="9"/>
    </i>
    <i r="2">
      <x v="113"/>
    </i>
    <i r="1">
      <x v="14"/>
      <x v="1"/>
    </i>
    <i r="2">
      <x v="92"/>
    </i>
    <i r="1">
      <x v="16"/>
      <x v="11"/>
    </i>
    <i r="2">
      <x v="17"/>
    </i>
    <i r="1">
      <x v="18"/>
      <x v="94"/>
    </i>
    <i r="1">
      <x v="19"/>
      <x v="106"/>
    </i>
    <i t="blank">
      <x v="51"/>
    </i>
    <i>
      <x v="52"/>
    </i>
    <i r="1">
      <x/>
      <x v="78"/>
    </i>
    <i r="1">
      <x v="1"/>
      <x v="100"/>
    </i>
    <i r="1">
      <x v="2"/>
      <x v="77"/>
    </i>
    <i r="1">
      <x v="3"/>
      <x v="80"/>
    </i>
    <i r="1">
      <x v="4"/>
      <x v="109"/>
    </i>
    <i r="1">
      <x v="5"/>
      <x v="95"/>
    </i>
    <i r="1">
      <x v="6"/>
      <x v="76"/>
    </i>
    <i r="2">
      <x v="92"/>
    </i>
    <i r="1">
      <x v="8"/>
      <x v="107"/>
    </i>
    <i r="1">
      <x v="9"/>
      <x v="66"/>
    </i>
    <i r="1">
      <x v="10"/>
      <x/>
    </i>
    <i r="1">
      <x v="11"/>
      <x v="74"/>
    </i>
    <i r="1">
      <x v="12"/>
      <x v="64"/>
    </i>
    <i r="1">
      <x v="13"/>
      <x v="99"/>
    </i>
    <i r="1">
      <x v="14"/>
      <x v="1"/>
    </i>
    <i r="1">
      <x v="15"/>
      <x v="75"/>
    </i>
    <i r="1">
      <x v="16"/>
      <x v="3"/>
    </i>
    <i r="2">
      <x v="9"/>
    </i>
    <i r="2">
      <x v="98"/>
    </i>
    <i r="1">
      <x v="19"/>
      <x v="58"/>
    </i>
    <i r="2">
      <x v="59"/>
    </i>
    <i t="blank">
      <x v="52"/>
    </i>
    <i>
      <x v="53"/>
    </i>
    <i r="1">
      <x/>
      <x v="78"/>
    </i>
    <i r="1">
      <x v="1"/>
      <x v="100"/>
    </i>
    <i r="1">
      <x v="2"/>
      <x v="109"/>
    </i>
    <i r="1">
      <x v="3"/>
      <x v="99"/>
    </i>
    <i r="1">
      <x v="4"/>
      <x v="74"/>
    </i>
    <i r="1">
      <x v="5"/>
      <x v="79"/>
    </i>
    <i r="1">
      <x v="6"/>
      <x v="95"/>
    </i>
    <i r="1">
      <x v="7"/>
      <x v="77"/>
    </i>
    <i r="1">
      <x v="8"/>
      <x/>
    </i>
    <i r="1">
      <x v="9"/>
      <x v="1"/>
    </i>
    <i r="2">
      <x v="80"/>
    </i>
    <i r="1">
      <x v="11"/>
      <x v="102"/>
    </i>
    <i r="2">
      <x v="107"/>
    </i>
    <i r="1">
      <x v="13"/>
      <x v="93"/>
    </i>
    <i r="1">
      <x v="14"/>
      <x v="65"/>
    </i>
    <i r="2">
      <x v="66"/>
    </i>
    <i r="1">
      <x v="16"/>
      <x v="9"/>
    </i>
    <i r="2">
      <x v="92"/>
    </i>
    <i r="1">
      <x v="18"/>
      <x v="111"/>
    </i>
    <i r="1">
      <x v="19"/>
      <x v="59"/>
    </i>
    <i t="blank">
      <x v="53"/>
    </i>
    <i>
      <x v="54"/>
    </i>
    <i r="1">
      <x/>
      <x v="78"/>
    </i>
    <i r="1">
      <x v="1"/>
      <x v="100"/>
    </i>
    <i r="1">
      <x v="2"/>
      <x v="79"/>
    </i>
    <i r="1">
      <x v="3"/>
      <x v="109"/>
    </i>
    <i r="1">
      <x v="4"/>
      <x v="77"/>
    </i>
    <i r="2">
      <x v="95"/>
    </i>
    <i r="1">
      <x v="6"/>
      <x v="107"/>
    </i>
    <i r="1">
      <x v="7"/>
      <x v="1"/>
    </i>
    <i r="1">
      <x v="8"/>
      <x v="99"/>
    </i>
    <i r="1">
      <x v="9"/>
      <x/>
    </i>
    <i r="1">
      <x v="10"/>
      <x v="74"/>
    </i>
    <i r="1">
      <x v="11"/>
      <x v="93"/>
    </i>
    <i r="1">
      <x v="12"/>
      <x v="33"/>
    </i>
    <i r="1">
      <x v="13"/>
      <x v="9"/>
    </i>
    <i r="2">
      <x v="66"/>
    </i>
    <i r="1">
      <x v="15"/>
      <x v="76"/>
    </i>
    <i r="1">
      <x v="16"/>
      <x v="65"/>
    </i>
    <i r="2">
      <x v="113"/>
    </i>
    <i r="1">
      <x v="18"/>
      <x v="11"/>
    </i>
    <i r="1">
      <x v="19"/>
      <x v="3"/>
    </i>
    <i r="2">
      <x v="106"/>
    </i>
    <i t="blank">
      <x v="54"/>
    </i>
    <i>
      <x v="55"/>
    </i>
    <i r="1">
      <x/>
      <x v="93"/>
    </i>
    <i r="1">
      <x v="1"/>
      <x v="78"/>
    </i>
    <i r="1">
      <x v="2"/>
      <x v="100"/>
    </i>
    <i r="1">
      <x v="3"/>
      <x v="95"/>
    </i>
    <i r="1">
      <x v="4"/>
      <x v="77"/>
    </i>
    <i r="1">
      <x v="5"/>
      <x v="109"/>
    </i>
    <i r="1">
      <x v="6"/>
      <x v="99"/>
    </i>
    <i r="1">
      <x v="7"/>
      <x v="92"/>
    </i>
    <i r="1">
      <x v="8"/>
      <x v="74"/>
    </i>
    <i r="1">
      <x v="9"/>
      <x v="80"/>
    </i>
    <i r="1">
      <x v="10"/>
      <x v="9"/>
    </i>
    <i r="1">
      <x v="11"/>
      <x v="94"/>
    </i>
    <i r="1">
      <x v="12"/>
      <x v="33"/>
    </i>
    <i r="2">
      <x v="113"/>
    </i>
    <i r="1">
      <x v="14"/>
      <x v="66"/>
    </i>
    <i r="2">
      <x v="76"/>
    </i>
    <i r="1">
      <x v="16"/>
      <x v="11"/>
    </i>
    <i r="1">
      <x v="17"/>
      <x v="65"/>
    </i>
    <i r="1">
      <x v="18"/>
      <x v="96"/>
    </i>
    <i r="1">
      <x v="19"/>
      <x v="1"/>
    </i>
    <i r="2">
      <x v="107"/>
    </i>
    <i t="blank">
      <x v="55"/>
    </i>
    <i>
      <x v="56"/>
    </i>
    <i r="1">
      <x/>
      <x v="77"/>
    </i>
    <i r="1">
      <x v="1"/>
      <x v="78"/>
    </i>
    <i r="1">
      <x v="2"/>
      <x v="100"/>
    </i>
    <i r="1">
      <x v="3"/>
      <x v="113"/>
    </i>
    <i r="1">
      <x v="4"/>
      <x v="66"/>
    </i>
    <i r="1">
      <x v="5"/>
      <x v="93"/>
    </i>
    <i r="1">
      <x v="6"/>
      <x v="9"/>
    </i>
    <i r="2">
      <x v="11"/>
    </i>
    <i r="1">
      <x v="8"/>
      <x v="109"/>
    </i>
    <i r="1">
      <x v="9"/>
      <x v="80"/>
    </i>
    <i r="2">
      <x v="99"/>
    </i>
    <i r="1">
      <x v="11"/>
      <x/>
    </i>
    <i r="1">
      <x v="12"/>
      <x v="33"/>
    </i>
    <i r="1">
      <x v="13"/>
      <x v="1"/>
    </i>
    <i r="2">
      <x v="92"/>
    </i>
    <i r="1">
      <x v="15"/>
      <x v="79"/>
    </i>
    <i r="2">
      <x v="95"/>
    </i>
    <i r="1">
      <x v="17"/>
      <x v="50"/>
    </i>
    <i r="1">
      <x v="18"/>
      <x v="8"/>
    </i>
    <i r="2">
      <x v="76"/>
    </i>
    <i t="blank">
      <x v="56"/>
    </i>
    <i>
      <x v="57"/>
    </i>
    <i r="1">
      <x/>
      <x v="100"/>
    </i>
    <i r="1">
      <x v="1"/>
      <x v="78"/>
    </i>
    <i r="1">
      <x v="2"/>
      <x v="109"/>
    </i>
    <i r="1">
      <x v="3"/>
      <x v="107"/>
    </i>
    <i r="1">
      <x v="4"/>
      <x v="93"/>
    </i>
    <i r="1">
      <x v="5"/>
      <x v="79"/>
    </i>
    <i r="1">
      <x v="6"/>
      <x v="99"/>
    </i>
    <i r="1">
      <x v="7"/>
      <x v="1"/>
    </i>
    <i r="1">
      <x v="8"/>
      <x v="95"/>
    </i>
    <i r="1">
      <x v="9"/>
      <x v="92"/>
    </i>
    <i r="2">
      <x v="98"/>
    </i>
    <i r="1">
      <x v="11"/>
      <x v="11"/>
    </i>
    <i r="1">
      <x v="12"/>
      <x v="65"/>
    </i>
    <i r="2">
      <x v="66"/>
    </i>
    <i r="2">
      <x v="94"/>
    </i>
    <i r="2">
      <x v="113"/>
    </i>
    <i r="1">
      <x v="16"/>
      <x v="74"/>
    </i>
    <i r="2">
      <x v="106"/>
    </i>
    <i r="1">
      <x v="18"/>
      <x v="9"/>
    </i>
    <i r="2">
      <x v="76"/>
    </i>
    <i r="2">
      <x v="80"/>
    </i>
    <i t="blank">
      <x v="57"/>
    </i>
    <i>
      <x v="58"/>
    </i>
    <i r="1">
      <x/>
      <x v="78"/>
    </i>
    <i r="1">
      <x v="1"/>
      <x v="100"/>
    </i>
    <i r="1">
      <x v="2"/>
      <x v="79"/>
    </i>
    <i r="2">
      <x v="93"/>
    </i>
    <i r="1">
      <x v="4"/>
      <x v="95"/>
    </i>
    <i r="1">
      <x v="5"/>
      <x v="109"/>
    </i>
    <i r="1">
      <x v="6"/>
      <x v="107"/>
    </i>
    <i r="1">
      <x v="7"/>
      <x v="99"/>
    </i>
    <i r="1">
      <x v="8"/>
      <x v="74"/>
    </i>
    <i r="1">
      <x v="9"/>
      <x v="92"/>
    </i>
    <i r="1">
      <x v="10"/>
      <x v="77"/>
    </i>
    <i r="1">
      <x v="11"/>
      <x v="76"/>
    </i>
    <i r="1">
      <x v="12"/>
      <x v="59"/>
    </i>
    <i r="1">
      <x v="13"/>
      <x v="1"/>
    </i>
    <i r="2">
      <x v="94"/>
    </i>
    <i r="1">
      <x v="15"/>
      <x v="65"/>
    </i>
    <i r="1">
      <x v="16"/>
      <x v="80"/>
    </i>
    <i r="1">
      <x v="17"/>
      <x v="66"/>
    </i>
    <i r="1">
      <x v="18"/>
      <x v="3"/>
    </i>
    <i r="1">
      <x v="19"/>
      <x v="64"/>
    </i>
    <i r="2">
      <x v="70"/>
    </i>
    <i t="blank">
      <x v="58"/>
    </i>
    <i>
      <x v="59"/>
    </i>
    <i r="1">
      <x/>
      <x v="78"/>
    </i>
    <i r="1">
      <x v="1"/>
      <x v="100"/>
    </i>
    <i r="1">
      <x v="2"/>
      <x v="77"/>
    </i>
    <i r="1">
      <x v="3"/>
      <x v="109"/>
    </i>
    <i r="1">
      <x v="4"/>
      <x v="95"/>
    </i>
    <i r="1">
      <x v="5"/>
      <x v="93"/>
    </i>
    <i r="1">
      <x v="6"/>
      <x v="99"/>
    </i>
    <i r="1">
      <x v="7"/>
      <x v="33"/>
    </i>
    <i r="1">
      <x v="8"/>
      <x v="107"/>
    </i>
    <i r="1">
      <x v="9"/>
      <x v="74"/>
    </i>
    <i r="1">
      <x v="10"/>
      <x v="35"/>
    </i>
    <i r="2">
      <x v="40"/>
    </i>
    <i r="2">
      <x v="92"/>
    </i>
    <i r="1">
      <x v="13"/>
      <x v="80"/>
    </i>
    <i r="1">
      <x v="14"/>
      <x v="41"/>
    </i>
    <i r="1">
      <x v="15"/>
      <x v="9"/>
    </i>
    <i r="2">
      <x v="23"/>
    </i>
    <i r="1">
      <x v="17"/>
      <x v="53"/>
    </i>
    <i r="1">
      <x v="18"/>
      <x v="94"/>
    </i>
    <i r="1">
      <x v="19"/>
      <x v="79"/>
    </i>
    <i t="blank">
      <x v="59"/>
    </i>
    <i>
      <x v="60"/>
    </i>
    <i r="1">
      <x/>
      <x v="100"/>
    </i>
    <i r="1">
      <x v="1"/>
      <x v="78"/>
    </i>
    <i r="1">
      <x v="2"/>
      <x v="79"/>
    </i>
    <i r="1">
      <x v="3"/>
      <x v="109"/>
    </i>
    <i r="1">
      <x v="4"/>
      <x v="66"/>
    </i>
    <i r="1">
      <x v="5"/>
      <x/>
    </i>
    <i r="2">
      <x v="95"/>
    </i>
    <i r="1">
      <x v="7"/>
      <x v="74"/>
    </i>
    <i r="2">
      <x v="99"/>
    </i>
    <i r="1">
      <x v="9"/>
      <x v="107"/>
    </i>
    <i r="1">
      <x v="10"/>
      <x v="93"/>
    </i>
    <i r="1">
      <x v="11"/>
      <x v="11"/>
    </i>
    <i r="2">
      <x v="17"/>
    </i>
    <i r="1">
      <x v="13"/>
      <x v="65"/>
    </i>
    <i r="1">
      <x v="14"/>
      <x v="9"/>
    </i>
    <i r="2">
      <x v="106"/>
    </i>
    <i r="1">
      <x v="16"/>
      <x v="13"/>
    </i>
    <i r="1">
      <x v="17"/>
      <x v="2"/>
    </i>
    <i r="2">
      <x v="63"/>
    </i>
    <i r="1">
      <x v="19"/>
      <x v="3"/>
    </i>
    <i r="2">
      <x v="113"/>
    </i>
    <i t="blank">
      <x v="60"/>
    </i>
    <i>
      <x v="61"/>
    </i>
    <i r="1">
      <x/>
      <x v="78"/>
    </i>
    <i r="1">
      <x v="1"/>
      <x v="100"/>
    </i>
    <i r="1">
      <x v="2"/>
      <x v="79"/>
    </i>
    <i r="1">
      <x v="3"/>
      <x v="93"/>
    </i>
    <i r="1">
      <x v="4"/>
      <x v="77"/>
    </i>
    <i r="1">
      <x v="5"/>
      <x v="107"/>
    </i>
    <i r="1">
      <x v="6"/>
      <x v="74"/>
    </i>
    <i r="1">
      <x v="7"/>
      <x v="109"/>
    </i>
    <i r="1">
      <x v="8"/>
      <x v="95"/>
    </i>
    <i r="1">
      <x v="9"/>
      <x v="3"/>
    </i>
    <i r="2">
      <x v="99"/>
    </i>
    <i r="1">
      <x v="11"/>
      <x/>
    </i>
    <i r="2">
      <x v="1"/>
    </i>
    <i r="1">
      <x v="13"/>
      <x v="94"/>
    </i>
    <i r="1">
      <x v="14"/>
      <x v="106"/>
    </i>
    <i r="1">
      <x v="15"/>
      <x v="9"/>
    </i>
    <i r="2">
      <x v="11"/>
    </i>
    <i r="2">
      <x v="98"/>
    </i>
    <i r="1">
      <x v="18"/>
      <x v="65"/>
    </i>
    <i r="2">
      <x v="92"/>
    </i>
    <i t="blank">
      <x v="61"/>
    </i>
    <i>
      <x v="62"/>
    </i>
    <i r="1">
      <x/>
      <x v="100"/>
    </i>
    <i r="1">
      <x v="1"/>
      <x v="107"/>
    </i>
    <i r="1">
      <x v="2"/>
      <x v="109"/>
    </i>
    <i r="1">
      <x v="3"/>
      <x v="78"/>
    </i>
    <i r="1">
      <x v="4"/>
      <x v="74"/>
    </i>
    <i r="1">
      <x v="5"/>
      <x v="9"/>
    </i>
    <i r="1">
      <x v="6"/>
      <x v="95"/>
    </i>
    <i r="1">
      <x v="7"/>
      <x/>
    </i>
    <i r="1">
      <x v="8"/>
      <x v="99"/>
    </i>
    <i r="1">
      <x v="9"/>
      <x v="106"/>
    </i>
    <i r="1">
      <x v="10"/>
      <x v="66"/>
    </i>
    <i r="1">
      <x v="11"/>
      <x v="93"/>
    </i>
    <i r="1">
      <x v="12"/>
      <x v="1"/>
    </i>
    <i r="2">
      <x v="11"/>
    </i>
    <i r="1">
      <x v="14"/>
      <x v="79"/>
    </i>
    <i r="1">
      <x v="15"/>
      <x v="77"/>
    </i>
    <i r="2">
      <x v="80"/>
    </i>
    <i r="1">
      <x v="17"/>
      <x v="113"/>
    </i>
    <i r="1">
      <x v="18"/>
      <x v="2"/>
    </i>
    <i r="2">
      <x v="67"/>
    </i>
    <i r="2">
      <x v="98"/>
    </i>
    <i t="blank">
      <x v="62"/>
    </i>
    <i>
      <x v="63"/>
    </i>
    <i r="1">
      <x/>
      <x v="78"/>
    </i>
    <i r="1">
      <x v="1"/>
      <x v="100"/>
    </i>
    <i r="1">
      <x v="2"/>
      <x v="107"/>
    </i>
    <i r="1">
      <x v="3"/>
      <x v="109"/>
    </i>
    <i r="1">
      <x v="4"/>
      <x v="77"/>
    </i>
    <i r="1">
      <x v="5"/>
      <x v="99"/>
    </i>
    <i r="1">
      <x v="6"/>
      <x v="92"/>
    </i>
    <i r="1">
      <x v="7"/>
      <x v="66"/>
    </i>
    <i r="2">
      <x v="95"/>
    </i>
    <i r="1">
      <x v="9"/>
      <x/>
    </i>
    <i r="1">
      <x v="10"/>
      <x v="74"/>
    </i>
    <i r="1">
      <x v="11"/>
      <x v="79"/>
    </i>
    <i r="1">
      <x v="12"/>
      <x v="80"/>
    </i>
    <i r="2">
      <x v="113"/>
    </i>
    <i r="1">
      <x v="14"/>
      <x v="3"/>
    </i>
    <i r="2">
      <x v="9"/>
    </i>
    <i r="2">
      <x v="93"/>
    </i>
    <i r="1">
      <x v="17"/>
      <x v="59"/>
    </i>
    <i r="2">
      <x v="101"/>
    </i>
    <i r="1">
      <x v="19"/>
      <x v="87"/>
    </i>
    <i r="2">
      <x v="98"/>
    </i>
    <i r="2">
      <x v="106"/>
    </i>
    <i r="2">
      <x v="108"/>
    </i>
    <i t="blank">
      <x v="63"/>
    </i>
    <i>
      <x v="64"/>
    </i>
    <i r="1">
      <x/>
      <x v="100"/>
    </i>
    <i r="1">
      <x v="1"/>
      <x/>
    </i>
    <i r="1">
      <x v="2"/>
      <x v="109"/>
    </i>
    <i r="1">
      <x v="3"/>
      <x v="79"/>
    </i>
    <i r="2">
      <x v="99"/>
    </i>
    <i r="2">
      <x v="107"/>
    </i>
    <i r="1">
      <x v="6"/>
      <x v="78"/>
    </i>
    <i r="1">
      <x v="7"/>
      <x v="9"/>
    </i>
    <i r="2">
      <x v="74"/>
    </i>
    <i r="1">
      <x v="9"/>
      <x v="66"/>
    </i>
    <i r="2">
      <x v="95"/>
    </i>
    <i r="1">
      <x v="11"/>
      <x v="113"/>
    </i>
    <i r="1">
      <x v="12"/>
      <x v="65"/>
    </i>
    <i r="1">
      <x v="13"/>
      <x v="87"/>
    </i>
    <i r="1">
      <x v="14"/>
      <x v="68"/>
    </i>
    <i r="1">
      <x v="15"/>
      <x v="1"/>
    </i>
    <i r="2">
      <x v="11"/>
    </i>
    <i r="2">
      <x v="64"/>
    </i>
    <i r="2">
      <x v="77"/>
    </i>
    <i r="2">
      <x v="92"/>
    </i>
    <i r="2">
      <x v="93"/>
    </i>
    <i r="2">
      <x v="106"/>
    </i>
    <i t="blank">
      <x v="64"/>
    </i>
    <i>
      <x v="65"/>
    </i>
    <i r="1">
      <x/>
      <x v="107"/>
    </i>
    <i r="1">
      <x v="1"/>
      <x v="100"/>
    </i>
    <i r="1">
      <x v="2"/>
      <x v="99"/>
    </i>
    <i r="2">
      <x v="109"/>
    </i>
    <i r="1">
      <x v="4"/>
      <x v="78"/>
    </i>
    <i r="1">
      <x v="5"/>
      <x/>
    </i>
    <i r="2">
      <x v="1"/>
    </i>
    <i r="1">
      <x v="7"/>
      <x v="64"/>
    </i>
    <i r="1">
      <x v="8"/>
      <x v="87"/>
    </i>
    <i r="2">
      <x v="94"/>
    </i>
    <i r="2">
      <x v="111"/>
    </i>
    <i r="1">
      <x v="11"/>
      <x v="95"/>
    </i>
    <i r="2">
      <x v="101"/>
    </i>
    <i r="2">
      <x v="106"/>
    </i>
    <i r="1">
      <x v="14"/>
      <x v="42"/>
    </i>
    <i r="2">
      <x v="65"/>
    </i>
    <i r="2">
      <x v="70"/>
    </i>
    <i r="2">
      <x v="79"/>
    </i>
    <i r="2">
      <x v="80"/>
    </i>
    <i r="2">
      <x v="92"/>
    </i>
    <i r="2">
      <x v="93"/>
    </i>
    <i r="2">
      <x v="98"/>
    </i>
    <i r="2">
      <x v="103"/>
    </i>
    <i t="blank">
      <x v="65"/>
    </i>
    <i>
      <x v="66"/>
    </i>
    <i r="1">
      <x/>
      <x/>
    </i>
    <i r="1">
      <x v="1"/>
      <x v="100"/>
    </i>
    <i r="1">
      <x v="2"/>
      <x v="95"/>
    </i>
    <i r="1">
      <x v="3"/>
      <x v="11"/>
    </i>
    <i r="2">
      <x v="109"/>
    </i>
    <i r="1">
      <x v="5"/>
      <x v="3"/>
    </i>
    <i r="2">
      <x v="53"/>
    </i>
    <i r="1">
      <x v="7"/>
      <x v="76"/>
    </i>
    <i r="1">
      <x v="8"/>
      <x v="9"/>
    </i>
    <i r="2">
      <x v="67"/>
    </i>
    <i r="2">
      <x v="86"/>
    </i>
    <i r="2">
      <x v="98"/>
    </i>
    <i r="2">
      <x v="107"/>
    </i>
    <i r="1">
      <x v="13"/>
      <x v="58"/>
    </i>
    <i r="2">
      <x v="64"/>
    </i>
    <i r="2">
      <x v="74"/>
    </i>
    <i r="2">
      <x v="75"/>
    </i>
    <i r="2">
      <x v="87"/>
    </i>
    <i r="2">
      <x v="88"/>
    </i>
    <i r="2">
      <x v="91"/>
    </i>
    <i t="blank">
      <x v="66"/>
    </i>
    <i>
      <x v="67"/>
    </i>
    <i r="1">
      <x/>
      <x/>
    </i>
    <i r="1">
      <x v="1"/>
      <x v="74"/>
    </i>
    <i r="2">
      <x v="95"/>
    </i>
    <i r="1">
      <x v="3"/>
      <x v="11"/>
    </i>
    <i r="2">
      <x v="71"/>
    </i>
    <i r="1">
      <x v="5"/>
      <x v="50"/>
    </i>
    <i r="2">
      <x v="65"/>
    </i>
    <i r="2">
      <x v="100"/>
    </i>
    <i r="1">
      <x v="8"/>
      <x v="1"/>
    </i>
    <i r="2">
      <x v="2"/>
    </i>
    <i r="2">
      <x v="66"/>
    </i>
    <i r="2">
      <x v="113"/>
    </i>
    <i r="1">
      <x v="12"/>
      <x v="20"/>
    </i>
    <i r="2">
      <x v="34"/>
    </i>
    <i r="2">
      <x v="91"/>
    </i>
    <i r="2">
      <x v="99"/>
    </i>
    <i r="2">
      <x v="115"/>
    </i>
    <i r="1">
      <x v="17"/>
      <x v="4"/>
    </i>
    <i r="2">
      <x v="6"/>
    </i>
    <i r="2">
      <x v="9"/>
    </i>
    <i r="2">
      <x v="12"/>
    </i>
    <i r="2">
      <x v="18"/>
    </i>
    <i r="2">
      <x v="23"/>
    </i>
    <i r="2">
      <x v="25"/>
    </i>
    <i r="2">
      <x v="30"/>
    </i>
    <i r="2">
      <x v="53"/>
    </i>
    <i r="2">
      <x v="64"/>
    </i>
    <i r="2">
      <x v="67"/>
    </i>
    <i r="2">
      <x v="78"/>
    </i>
    <i r="2">
      <x v="87"/>
    </i>
    <i r="2">
      <x v="90"/>
    </i>
    <i r="2">
      <x v="104"/>
    </i>
    <i r="2">
      <x v="110"/>
    </i>
    <i r="2">
      <x v="112"/>
    </i>
    <i r="2">
      <x v="114"/>
    </i>
    <i t="blank">
      <x v="67"/>
    </i>
    <i>
      <x v="68"/>
    </i>
    <i r="1">
      <x/>
      <x v="109"/>
    </i>
    <i r="1">
      <x v="1"/>
      <x v="77"/>
    </i>
    <i r="2">
      <x v="100"/>
    </i>
    <i r="1">
      <x v="3"/>
      <x v="74"/>
    </i>
    <i r="1">
      <x v="4"/>
      <x v="113"/>
    </i>
    <i r="1">
      <x v="5"/>
      <x v="15"/>
    </i>
    <i r="2">
      <x v="92"/>
    </i>
    <i r="2">
      <x v="99"/>
    </i>
    <i r="1">
      <x v="8"/>
      <x v="11"/>
    </i>
    <i r="2">
      <x v="14"/>
    </i>
    <i r="1">
      <x v="10"/>
      <x v="9"/>
    </i>
    <i r="2">
      <x v="65"/>
    </i>
    <i r="2">
      <x v="78"/>
    </i>
    <i r="2">
      <x v="93"/>
    </i>
    <i r="1">
      <x v="14"/>
      <x v="1"/>
    </i>
    <i r="2">
      <x v="17"/>
    </i>
    <i r="2">
      <x v="59"/>
    </i>
    <i r="2">
      <x v="67"/>
    </i>
    <i r="2">
      <x v="94"/>
    </i>
    <i r="1">
      <x v="19"/>
      <x v="66"/>
    </i>
    <i r="2">
      <x v="70"/>
    </i>
    <i t="blank">
      <x v="68"/>
    </i>
    <i>
      <x v="69"/>
    </i>
    <i r="1">
      <x/>
      <x v="100"/>
    </i>
    <i r="1">
      <x v="1"/>
      <x v="78"/>
    </i>
    <i r="1">
      <x v="2"/>
      <x v="17"/>
    </i>
    <i r="2">
      <x v="107"/>
    </i>
    <i r="1">
      <x v="4"/>
      <x v="79"/>
    </i>
    <i r="1">
      <x v="5"/>
      <x/>
    </i>
    <i r="1">
      <x v="6"/>
      <x v="109"/>
    </i>
    <i r="1">
      <x v="7"/>
      <x v="95"/>
    </i>
    <i r="2">
      <x v="99"/>
    </i>
    <i r="1">
      <x v="9"/>
      <x v="66"/>
    </i>
    <i r="1">
      <x v="10"/>
      <x v="106"/>
    </i>
    <i r="1">
      <x v="11"/>
      <x v="74"/>
    </i>
    <i r="1">
      <x v="12"/>
      <x v="9"/>
    </i>
    <i r="1">
      <x v="13"/>
      <x v="70"/>
    </i>
    <i r="1">
      <x v="14"/>
      <x v="77"/>
    </i>
    <i r="2">
      <x v="92"/>
    </i>
    <i r="1">
      <x v="16"/>
      <x v="113"/>
    </i>
    <i r="1">
      <x v="17"/>
      <x v="1"/>
    </i>
    <i r="2">
      <x v="76"/>
    </i>
    <i r="2">
      <x v="111"/>
    </i>
    <i t="blank">
      <x v="69"/>
    </i>
    <i>
      <x v="70"/>
    </i>
    <i r="1">
      <x/>
      <x v="79"/>
    </i>
    <i r="1">
      <x v="1"/>
      <x v="45"/>
    </i>
    <i r="1">
      <x v="2"/>
      <x v="100"/>
    </i>
    <i r="1">
      <x v="3"/>
      <x v="109"/>
    </i>
    <i r="1">
      <x v="4"/>
      <x v="107"/>
    </i>
    <i r="1">
      <x v="5"/>
      <x v="78"/>
    </i>
    <i r="2">
      <x v="99"/>
    </i>
    <i r="1">
      <x v="7"/>
      <x v="1"/>
    </i>
    <i r="2">
      <x v="64"/>
    </i>
    <i r="2">
      <x v="70"/>
    </i>
    <i r="2">
      <x v="73"/>
    </i>
    <i r="2">
      <x v="95"/>
    </i>
    <i r="1">
      <x v="12"/>
      <x v="66"/>
    </i>
    <i r="2">
      <x v="71"/>
    </i>
    <i r="2">
      <x v="74"/>
    </i>
    <i r="2">
      <x v="106"/>
    </i>
    <i r="1">
      <x v="16"/>
      <x/>
    </i>
    <i r="2">
      <x v="8"/>
    </i>
    <i r="2">
      <x v="9"/>
    </i>
    <i r="2">
      <x v="10"/>
    </i>
    <i r="2">
      <x v="11"/>
    </i>
    <i r="2">
      <x v="17"/>
    </i>
    <i r="2">
      <x v="38"/>
    </i>
    <i r="2">
      <x v="58"/>
    </i>
    <i r="2">
      <x v="61"/>
    </i>
    <i r="2">
      <x v="65"/>
    </i>
    <i r="2">
      <x v="69"/>
    </i>
    <i r="2">
      <x v="77"/>
    </i>
    <i r="2">
      <x v="92"/>
    </i>
    <i r="2">
      <x v="93"/>
    </i>
    <i r="2">
      <x v="98"/>
    </i>
    <i t="blank">
      <x v="70"/>
    </i>
    <i>
      <x v="71"/>
    </i>
    <i r="1">
      <x/>
      <x/>
    </i>
    <i r="1">
      <x v="1"/>
      <x v="79"/>
    </i>
    <i r="1">
      <x v="2"/>
      <x v="71"/>
    </i>
    <i r="2">
      <x v="109"/>
    </i>
    <i r="1">
      <x v="4"/>
      <x v="65"/>
    </i>
    <i r="2">
      <x v="95"/>
    </i>
    <i r="2">
      <x v="99"/>
    </i>
    <i r="1">
      <x v="7"/>
      <x v="9"/>
    </i>
    <i r="2">
      <x v="63"/>
    </i>
    <i r="2">
      <x v="78"/>
    </i>
    <i r="1">
      <x v="10"/>
      <x v="62"/>
    </i>
    <i r="2">
      <x v="72"/>
    </i>
    <i r="2">
      <x v="100"/>
    </i>
    <i r="2">
      <x v="105"/>
    </i>
    <i r="2">
      <x v="113"/>
    </i>
    <i r="1">
      <x v="15"/>
      <x v="1"/>
    </i>
    <i r="2">
      <x v="2"/>
    </i>
    <i r="2">
      <x v="66"/>
    </i>
    <i r="2">
      <x v="74"/>
    </i>
    <i r="2">
      <x v="89"/>
    </i>
    <i r="2">
      <x v="93"/>
    </i>
    <i r="2">
      <x v="96"/>
    </i>
    <i t="blank">
      <x v="71"/>
    </i>
    <i>
      <x v="72"/>
    </i>
    <i r="1">
      <x/>
      <x v="78"/>
    </i>
    <i r="1">
      <x v="1"/>
      <x v="79"/>
    </i>
    <i r="1">
      <x v="2"/>
      <x/>
    </i>
    <i r="1">
      <x v="3"/>
      <x v="100"/>
    </i>
    <i r="1">
      <x v="4"/>
      <x v="107"/>
    </i>
    <i r="2">
      <x v="109"/>
    </i>
    <i r="1">
      <x v="6"/>
      <x v="95"/>
    </i>
    <i r="1">
      <x v="7"/>
      <x v="1"/>
    </i>
    <i r="2">
      <x v="113"/>
    </i>
    <i r="1">
      <x v="9"/>
      <x v="3"/>
    </i>
    <i r="2">
      <x v="9"/>
    </i>
    <i r="2">
      <x v="58"/>
    </i>
    <i r="2">
      <x v="66"/>
    </i>
    <i r="1">
      <x v="13"/>
      <x v="33"/>
    </i>
    <i r="2">
      <x v="50"/>
    </i>
    <i r="2">
      <x v="63"/>
    </i>
    <i r="2">
      <x v="74"/>
    </i>
    <i r="2">
      <x v="75"/>
    </i>
    <i r="1">
      <x v="18"/>
      <x v="2"/>
    </i>
    <i r="2">
      <x v="8"/>
    </i>
    <i r="2">
      <x v="11"/>
    </i>
    <i r="2">
      <x v="16"/>
    </i>
    <i r="2">
      <x v="77"/>
    </i>
    <i r="2">
      <x v="99"/>
    </i>
    <i t="blank">
      <x v="72"/>
    </i>
    <i>
      <x v="73"/>
    </i>
    <i r="1">
      <x/>
      <x v="78"/>
    </i>
    <i r="1">
      <x v="1"/>
      <x/>
    </i>
    <i r="1">
      <x v="2"/>
      <x v="66"/>
    </i>
    <i r="1">
      <x v="3"/>
      <x v="11"/>
    </i>
    <i r="2">
      <x v="79"/>
    </i>
    <i r="1">
      <x v="5"/>
      <x v="77"/>
    </i>
    <i r="1">
      <x v="6"/>
      <x v="5"/>
    </i>
    <i r="2">
      <x v="100"/>
    </i>
    <i r="2">
      <x v="113"/>
    </i>
    <i r="1">
      <x v="9"/>
      <x v="22"/>
    </i>
    <i r="2">
      <x v="99"/>
    </i>
    <i r="1">
      <x v="11"/>
      <x v="1"/>
    </i>
    <i r="2">
      <x v="9"/>
    </i>
    <i r="2">
      <x v="65"/>
    </i>
    <i r="2">
      <x v="95"/>
    </i>
    <i r="2">
      <x v="107"/>
    </i>
    <i r="2">
      <x v="115"/>
    </i>
    <i r="1">
      <x v="17"/>
      <x v="8"/>
    </i>
    <i r="2">
      <x v="17"/>
    </i>
    <i r="2">
      <x v="33"/>
    </i>
    <i r="2">
      <x v="71"/>
    </i>
    <i r="2">
      <x v="74"/>
    </i>
    <i r="2">
      <x v="109"/>
    </i>
    <i t="blank">
      <x v="73"/>
    </i>
    <i>
      <x v="74"/>
    </i>
    <i r="1">
      <x/>
      <x/>
    </i>
    <i r="1">
      <x v="1"/>
      <x v="77"/>
    </i>
    <i r="2">
      <x v="79"/>
    </i>
    <i r="1">
      <x v="3"/>
      <x v="95"/>
    </i>
    <i r="1">
      <x v="4"/>
      <x v="26"/>
    </i>
    <i r="2">
      <x v="50"/>
    </i>
    <i r="2">
      <x v="71"/>
    </i>
    <i r="1">
      <x v="7"/>
      <x v="2"/>
    </i>
    <i r="2">
      <x v="3"/>
    </i>
    <i r="2">
      <x v="4"/>
    </i>
    <i r="2">
      <x v="16"/>
    </i>
    <i r="2">
      <x v="17"/>
    </i>
    <i r="2">
      <x v="18"/>
    </i>
    <i r="2">
      <x v="19"/>
    </i>
    <i r="2">
      <x v="27"/>
    </i>
    <i r="2">
      <x v="30"/>
    </i>
    <i r="2">
      <x v="33"/>
    </i>
    <i r="2">
      <x v="51"/>
    </i>
    <i r="2">
      <x v="57"/>
    </i>
    <i r="2">
      <x v="60"/>
    </i>
    <i r="2">
      <x v="64"/>
    </i>
    <i r="2">
      <x v="97"/>
    </i>
    <i r="2">
      <x v="99"/>
    </i>
    <i r="2">
      <x v="105"/>
    </i>
    <i r="2">
      <x v="106"/>
    </i>
    <i r="2">
      <x v="107"/>
    </i>
    <i r="2">
      <x v="113"/>
    </i>
    <i t="blank">
      <x v="7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1066">
      <pivotArea field="2" type="button" dataOnly="0" labelOnly="1" outline="0" axis="axisRow" fieldPosition="0"/>
    </format>
    <format dxfId="1065">
      <pivotArea outline="0" fieldPosition="0">
        <references count="1">
          <reference field="4294967294" count="1">
            <x v="0"/>
          </reference>
        </references>
      </pivotArea>
    </format>
    <format dxfId="1064">
      <pivotArea outline="0" fieldPosition="0">
        <references count="1">
          <reference field="4294967294" count="1">
            <x v="1"/>
          </reference>
        </references>
      </pivotArea>
    </format>
    <format dxfId="1063">
      <pivotArea outline="0" fieldPosition="0">
        <references count="1">
          <reference field="4294967294" count="1">
            <x v="2"/>
          </reference>
        </references>
      </pivotArea>
    </format>
    <format dxfId="1062">
      <pivotArea outline="0" fieldPosition="0">
        <references count="1">
          <reference field="4294967294" count="1">
            <x v="3"/>
          </reference>
        </references>
      </pivotArea>
    </format>
    <format dxfId="1061">
      <pivotArea outline="0" fieldPosition="0">
        <references count="1">
          <reference field="4294967294" count="1">
            <x v="4"/>
          </reference>
        </references>
      </pivotArea>
    </format>
    <format dxfId="1060">
      <pivotArea outline="0" fieldPosition="0">
        <references count="1">
          <reference field="4294967294" count="1">
            <x v="5"/>
          </reference>
        </references>
      </pivotArea>
    </format>
    <format dxfId="1059">
      <pivotArea outline="0" fieldPosition="0">
        <references count="1">
          <reference field="4294967294" count="1">
            <x v="6"/>
          </reference>
        </references>
      </pivotArea>
    </format>
    <format dxfId="1058">
      <pivotArea field="2" type="button" dataOnly="0" labelOnly="1" outline="0" axis="axisRow" fieldPosition="0"/>
    </format>
    <format dxfId="105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56">
      <pivotArea field="2" type="button" dataOnly="0" labelOnly="1" outline="0" axis="axisRow" fieldPosition="0"/>
    </format>
    <format dxfId="105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54">
      <pivotArea field="2" type="button" dataOnly="0" labelOnly="1" outline="0" axis="axisRow" fieldPosition="0"/>
    </format>
    <format dxfId="105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5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5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50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03C9B84-1210-4CA3-A5B0-849A3F61FA26}" name="LTBL_27000" displayName="LTBL_27000" ref="B4:I20" totalsRowCount="1">
  <autoFilter ref="B4:I19" xr:uid="{903C9B84-1210-4CA3-A5B0-849A3F61FA26}"/>
  <tableColumns count="8">
    <tableColumn id="9" xr3:uid="{43011258-6E44-494F-8B4B-B0A2FF30A80C}" name="産業大分類" totalsRowLabel="合計" totalsRowDxfId="1049"/>
    <tableColumn id="10" xr3:uid="{266C33F9-7B4B-4303-A771-CB08BBBAAAAA}" name="総数／事業所数" totalsRowFunction="custom" totalsRowDxfId="1048" dataCellStyle="桁区切り" totalsRowCellStyle="桁区切り">
      <totalsRowFormula>SUM(LTBL_27000[総数／事業所数])</totalsRowFormula>
    </tableColumn>
    <tableColumn id="11" xr3:uid="{8D11AFCC-AC33-4C08-9DD3-BD9BF704A5CC}" name="総数／構成比" dataDxfId="1047"/>
    <tableColumn id="12" xr3:uid="{61A44DC3-843C-4D7F-9BE4-62CD252C55B6}" name="個人／事業所数" totalsRowFunction="sum" totalsRowDxfId="1046" dataCellStyle="桁区切り" totalsRowCellStyle="桁区切り"/>
    <tableColumn id="13" xr3:uid="{A0E27ACA-FF81-4542-8778-E941F9E16C50}" name="個人／構成比" dataDxfId="1045"/>
    <tableColumn id="14" xr3:uid="{282EE353-D461-40E6-8FCB-458B40057D6F}" name="法人／事業所数" totalsRowFunction="sum" totalsRowDxfId="1044" dataCellStyle="桁区切り" totalsRowCellStyle="桁区切り"/>
    <tableColumn id="15" xr3:uid="{1B68F43A-2194-46D4-B680-293AA3FDB72F}" name="法人／構成比" dataDxfId="1043"/>
    <tableColumn id="16" xr3:uid="{4F68D114-7748-49C7-91CD-4F58B4090F3D}" name="法人以外の団体／事業所数" totalsRowFunction="sum" totalsRowDxfId="1042" dataCellStyle="桁区切り" totalsRow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0826971-8F91-48F0-94CB-213449D85F9F}" name="LTBL_27103" displayName="LTBL_27103" ref="B4:I20" totalsRowCount="1">
  <autoFilter ref="B4:I19" xr:uid="{90826971-8F91-48F0-94CB-213449D85F9F}"/>
  <tableColumns count="8">
    <tableColumn id="9" xr3:uid="{1065390E-5C6D-4E1A-A1FE-AE94BC3616AF}" name="産業大分類" totalsRowLabel="合計" totalsRowDxfId="1007"/>
    <tableColumn id="10" xr3:uid="{B2C3614A-A215-43A5-A931-C10EA232B82E}" name="総数／事業所数" totalsRowFunction="custom" totalsRowDxfId="1006" dataCellStyle="桁区切り" totalsRowCellStyle="桁区切り">
      <totalsRowFormula>SUM(LTBL_27103[総数／事業所数])</totalsRowFormula>
    </tableColumn>
    <tableColumn id="11" xr3:uid="{BFD1B87B-C066-4845-B25E-AA262C300630}" name="総数／構成比" dataDxfId="1005"/>
    <tableColumn id="12" xr3:uid="{FE82F0DF-C764-40BB-9CFF-B7D49C8B437E}" name="個人／事業所数" totalsRowFunction="sum" totalsRowDxfId="1004" dataCellStyle="桁区切り" totalsRowCellStyle="桁区切り"/>
    <tableColumn id="13" xr3:uid="{29B26E55-6337-455D-B796-8CE7FD38C7F6}" name="個人／構成比" dataDxfId="1003"/>
    <tableColumn id="14" xr3:uid="{C3587185-8FC9-477B-9D5A-5C5197049B71}" name="法人／事業所数" totalsRowFunction="sum" totalsRowDxfId="1002" dataCellStyle="桁区切り" totalsRowCellStyle="桁区切り"/>
    <tableColumn id="15" xr3:uid="{0A70C1A2-3CE8-46DE-A904-F03BD3F2A202}" name="法人／構成比" dataDxfId="1001"/>
    <tableColumn id="16" xr3:uid="{7172A54C-B3C9-4B7B-9C6D-25F2E55D4E37}" name="法人以外の団体／事業所数" totalsRowFunction="sum" totalsRowDxfId="1000" dataCellStyle="桁区切り" totalsRowCellStyle="桁区切り"/>
  </tableColumns>
  <tableStyleInfo name="TableStyleMedium9" showFirstColumn="0" showLastColumn="0" showRowStripes="1" showColumnStripes="0"/>
</table>
</file>

<file path=xl/tables/table10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3E9F3A4C-4E79-4FCB-BE0D-6A9BF9146380}" name="LTBL_27147" displayName="LTBL_27147" ref="B4:I20" totalsRowCount="1">
  <autoFilter ref="B4:I19" xr:uid="{3E9F3A4C-4E79-4FCB-BE0D-6A9BF9146380}"/>
  <tableColumns count="8">
    <tableColumn id="9" xr3:uid="{A894DEA3-BCC9-4A7C-872B-7F02368AFC94}" name="産業大分類" totalsRowLabel="合計" totalsRowDxfId="587"/>
    <tableColumn id="10" xr3:uid="{AF308AA4-9BE7-471F-ADBE-5D8C5C4E88F0}" name="総数／事業所数" totalsRowFunction="custom" totalsRowDxfId="586" dataCellStyle="桁区切り" totalsRowCellStyle="桁区切り">
      <totalsRowFormula>SUM(LTBL_27147[総数／事業所数])</totalsRowFormula>
    </tableColumn>
    <tableColumn id="11" xr3:uid="{B2050796-5E6A-4ABA-8F54-3520107E33B7}" name="総数／構成比" dataDxfId="585"/>
    <tableColumn id="12" xr3:uid="{0391A9F3-6F55-40EF-A0CE-1EA67B11C7D0}" name="個人／事業所数" totalsRowFunction="sum" totalsRowDxfId="584" dataCellStyle="桁区切り" totalsRowCellStyle="桁区切り"/>
    <tableColumn id="13" xr3:uid="{1226E906-AB9A-46DF-AEE5-A08F35B53E14}" name="個人／構成比" dataDxfId="583"/>
    <tableColumn id="14" xr3:uid="{7F21CCA6-B3B7-4D2F-BC32-E50916C44D34}" name="法人／事業所数" totalsRowFunction="sum" totalsRowDxfId="582" dataCellStyle="桁区切り" totalsRowCellStyle="桁区切り"/>
    <tableColumn id="15" xr3:uid="{9D039E62-3F53-4431-9494-CBFE7BF68BA5}" name="法人／構成比" dataDxfId="581"/>
    <tableColumn id="16" xr3:uid="{006A482F-AFF1-48EB-B7E2-219182BDEC46}" name="法人以外の団体／事業所数" totalsRowFunction="sum" totalsRowDxfId="580" dataCellStyle="桁区切り" totalsRowCellStyle="桁区切り"/>
  </tableColumns>
  <tableStyleInfo name="TableStyleMedium9" showFirstColumn="0" showLastColumn="0" showRowStripes="1" showColumnStripes="0"/>
</table>
</file>

<file path=xl/tables/table10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94923397-41EA-4FDB-914E-0696FA43AB14}" name="M_TABLE_27147" displayName="M_TABLE_27147" ref="B23:I43" totalsRowShown="0">
  <autoFilter ref="B23:I43" xr:uid="{94923397-41EA-4FDB-914E-0696FA43AB14}"/>
  <tableColumns count="8">
    <tableColumn id="9" xr3:uid="{E2CAA87F-C36B-410A-8F2E-A699A30834C4}" name="産業中分類上位２０"/>
    <tableColumn id="10" xr3:uid="{55684F1D-E4E3-497B-A87B-2282E5F41993}" name="総数／事業所数" dataCellStyle="桁区切り"/>
    <tableColumn id="11" xr3:uid="{7FD7D63E-2EF8-4CC9-8E1F-E99F01A2285C}" name="総数／構成比" dataDxfId="579"/>
    <tableColumn id="12" xr3:uid="{5352C751-AB03-456F-B8EF-41480611E245}" name="個人／事業所数" dataCellStyle="桁区切り"/>
    <tableColumn id="13" xr3:uid="{D1F652B4-BA62-449D-898E-01126DF21D3A}" name="個人／構成比" dataDxfId="578"/>
    <tableColumn id="14" xr3:uid="{B71F50FA-9C9E-414F-907D-02411AAD4492}" name="法人／事業所数" dataCellStyle="桁区切り"/>
    <tableColumn id="15" xr3:uid="{A63F5B4C-4C3F-4EBC-8A5B-A95642B7CC3A}" name="法人／構成比" dataDxfId="577"/>
    <tableColumn id="16" xr3:uid="{85CEDD32-FC96-44BE-9D39-8DD2FC69B6AB}" name="法人以外の団体／事業所数" dataCellStyle="桁区切り"/>
  </tableColumns>
  <tableStyleInfo name="TableStyleMedium9" showFirstColumn="0" showLastColumn="0" showRowStripes="1" showColumnStripes="0"/>
</table>
</file>

<file path=xl/tables/table1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35B9F15D-4513-4829-89FD-D9E0E8930F25}" name="S_TABLE_27147" displayName="S_TABLE_27147" ref="B46:I68" totalsRowShown="0">
  <autoFilter ref="B46:I68" xr:uid="{35B9F15D-4513-4829-89FD-D9E0E8930F25}"/>
  <tableColumns count="8">
    <tableColumn id="9" xr3:uid="{69CA9308-692B-4E9F-93C9-29239EFEDC18}" name="産業小分類上位２０"/>
    <tableColumn id="10" xr3:uid="{4ECD5D47-26F6-4BC4-AD71-6997A013D5D2}" name="総数／事業所数" dataCellStyle="桁区切り"/>
    <tableColumn id="11" xr3:uid="{6900BE2D-4546-4491-B2D1-F4DDD2557058}" name="総数／構成比" dataDxfId="576"/>
    <tableColumn id="12" xr3:uid="{C4688467-4C78-4E6F-8727-8819ED8C819A}" name="個人／事業所数" dataCellStyle="桁区切り"/>
    <tableColumn id="13" xr3:uid="{A9B6EFAA-3EB5-4165-BE6A-2B7AFB4690DE}" name="個人／構成比" dataDxfId="575"/>
    <tableColumn id="14" xr3:uid="{6C657D5F-677C-4324-A68B-9D3F0C45635F}" name="法人／事業所数" dataCellStyle="桁区切り"/>
    <tableColumn id="15" xr3:uid="{46C04BED-425A-4045-AE16-12BE83B6A901}" name="法人／構成比" dataDxfId="574"/>
    <tableColumn id="16" xr3:uid="{FD30DE9F-BAB6-414E-8658-E14CAE963D3B}" name="法人以外の団体／事業所数" dataCellStyle="桁区切り"/>
  </tableColumns>
  <tableStyleInfo name="TableStyleMedium9" showFirstColumn="0" showLastColumn="0" showRowStripes="1" showColumnStripes="0"/>
</table>
</file>

<file path=xl/tables/table10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890F199A-D5E5-4D25-B55C-C32C3DADE907}" name="LTBL_27202" displayName="LTBL_27202" ref="B4:I20" totalsRowCount="1">
  <autoFilter ref="B4:I19" xr:uid="{890F199A-D5E5-4D25-B55C-C32C3DADE907}"/>
  <tableColumns count="8">
    <tableColumn id="9" xr3:uid="{2B1F8955-769C-4729-9145-957A0A7BF524}" name="産業大分類" totalsRowLabel="合計" totalsRowDxfId="573"/>
    <tableColumn id="10" xr3:uid="{89CE4AC0-6307-40CC-97A7-65D7712C9D6D}" name="総数／事業所数" totalsRowFunction="custom" totalsRowDxfId="572" dataCellStyle="桁区切り" totalsRowCellStyle="桁区切り">
      <totalsRowFormula>SUM(LTBL_27202[総数／事業所数])</totalsRowFormula>
    </tableColumn>
    <tableColumn id="11" xr3:uid="{0B31CAD2-5928-4751-8648-B8AC11DA0179}" name="総数／構成比" dataDxfId="571"/>
    <tableColumn id="12" xr3:uid="{B8F12F33-1519-4579-A2EF-B020DEBB46E9}" name="個人／事業所数" totalsRowFunction="sum" totalsRowDxfId="570" dataCellStyle="桁区切り" totalsRowCellStyle="桁区切り"/>
    <tableColumn id="13" xr3:uid="{10C225F0-EF1F-4C15-ACFF-EDC7F636A629}" name="個人／構成比" dataDxfId="569"/>
    <tableColumn id="14" xr3:uid="{E2253BC8-0B42-4CF7-9FAA-1804A55BB38D}" name="法人／事業所数" totalsRowFunction="sum" totalsRowDxfId="568" dataCellStyle="桁区切り" totalsRowCellStyle="桁区切り"/>
    <tableColumn id="15" xr3:uid="{57EA57FE-3E3B-4F9A-8407-B4F6EBC438A1}" name="法人／構成比" dataDxfId="567"/>
    <tableColumn id="16" xr3:uid="{72DC1D82-521C-4BD2-A6DD-4CE0BE1E46BF}" name="法人以外の団体／事業所数" totalsRowFunction="sum" totalsRowDxfId="566" dataCellStyle="桁区切り" totalsRowCellStyle="桁区切り"/>
  </tableColumns>
  <tableStyleInfo name="TableStyleMedium9" showFirstColumn="0" showLastColumn="0" showRowStripes="1" showColumnStripes="0"/>
</table>
</file>

<file path=xl/tables/table1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4CB265F1-CE98-4AA7-8392-E57EEFC41E1D}" name="M_TABLE_27202" displayName="M_TABLE_27202" ref="B23:I43" totalsRowShown="0">
  <autoFilter ref="B23:I43" xr:uid="{4CB265F1-CE98-4AA7-8392-E57EEFC41E1D}"/>
  <tableColumns count="8">
    <tableColumn id="9" xr3:uid="{BCFB623D-10DD-49C1-A7B6-A024CCBD07A5}" name="産業中分類上位２０"/>
    <tableColumn id="10" xr3:uid="{F1043FE1-1A7D-4913-B2A6-8937033B5200}" name="総数／事業所数" dataCellStyle="桁区切り"/>
    <tableColumn id="11" xr3:uid="{9797C295-4996-4638-A7AB-92DDBD318F63}" name="総数／構成比" dataDxfId="565"/>
    <tableColumn id="12" xr3:uid="{881CA3F4-308A-46AF-937D-EF5CABA72564}" name="個人／事業所数" dataCellStyle="桁区切り"/>
    <tableColumn id="13" xr3:uid="{363408AA-2633-4337-A9D2-2D5D6DEABBEE}" name="個人／構成比" dataDxfId="564"/>
    <tableColumn id="14" xr3:uid="{21A6B79E-8DF0-4795-912C-E302395B8B40}" name="法人／事業所数" dataCellStyle="桁区切り"/>
    <tableColumn id="15" xr3:uid="{4F30FADA-B4B9-44B3-B1AD-1AC316A439F4}" name="法人／構成比" dataDxfId="563"/>
    <tableColumn id="16" xr3:uid="{C3AFC7C2-F88E-47BB-A0FD-94BB9C4C79EF}" name="法人以外の団体／事業所数" dataCellStyle="桁区切り"/>
  </tableColumns>
  <tableStyleInfo name="TableStyleMedium9" showFirstColumn="0" showLastColumn="0" showRowStripes="1" showColumnStripes="0"/>
</table>
</file>

<file path=xl/tables/table1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F63068FF-C458-438D-AD02-5303434FD2A4}" name="S_TABLE_27202" displayName="S_TABLE_27202" ref="B46:I66" totalsRowShown="0">
  <autoFilter ref="B46:I66" xr:uid="{F63068FF-C458-438D-AD02-5303434FD2A4}"/>
  <tableColumns count="8">
    <tableColumn id="9" xr3:uid="{B7807234-ACEB-4B4C-AA1D-57CDAF4EE80A}" name="産業小分類上位２０"/>
    <tableColumn id="10" xr3:uid="{17CC8113-B71C-440A-89D7-35704C8DA80C}" name="総数／事業所数" dataCellStyle="桁区切り"/>
    <tableColumn id="11" xr3:uid="{77811B0D-93EE-4B7A-9E73-9CFA58020793}" name="総数／構成比" dataDxfId="562"/>
    <tableColumn id="12" xr3:uid="{ACDA32B4-B760-4066-AC15-7F45F9D14E38}" name="個人／事業所数" dataCellStyle="桁区切り"/>
    <tableColumn id="13" xr3:uid="{E8DE42B9-65AD-4888-823E-8860483B7E30}" name="個人／構成比" dataDxfId="561"/>
    <tableColumn id="14" xr3:uid="{6128F2D7-3841-4758-A6A7-DFA67DB8CC98}" name="法人／事業所数" dataCellStyle="桁区切り"/>
    <tableColumn id="15" xr3:uid="{5093C2F4-8A40-4BDA-A8A8-D1B91CD3342F}" name="法人／構成比" dataDxfId="560"/>
    <tableColumn id="16" xr3:uid="{248FCF30-AC39-4F6E-98BB-A067B81CEB2E}" name="法人以外の団体／事業所数" dataCellStyle="桁区切り"/>
  </tableColumns>
  <tableStyleInfo name="TableStyleMedium9" showFirstColumn="0" showLastColumn="0" showRowStripes="1" showColumnStripes="0"/>
</table>
</file>

<file path=xl/tables/table1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6EBD99E1-012A-441E-98D5-82002C9DF417}" name="LTBL_27203" displayName="LTBL_27203" ref="B4:I20" totalsRowCount="1">
  <autoFilter ref="B4:I19" xr:uid="{6EBD99E1-012A-441E-98D5-82002C9DF417}"/>
  <tableColumns count="8">
    <tableColumn id="9" xr3:uid="{07E286CD-5128-4B8D-98CD-896E26CF0041}" name="産業大分類" totalsRowLabel="合計" totalsRowDxfId="559"/>
    <tableColumn id="10" xr3:uid="{F261920F-2591-4386-8751-528FC55E0F79}" name="総数／事業所数" totalsRowFunction="custom" totalsRowDxfId="558" dataCellStyle="桁区切り" totalsRowCellStyle="桁区切り">
      <totalsRowFormula>SUM(LTBL_27203[総数／事業所数])</totalsRowFormula>
    </tableColumn>
    <tableColumn id="11" xr3:uid="{B46E9E1A-01F1-4869-A1BC-5FB39A8FB5F4}" name="総数／構成比" dataDxfId="557"/>
    <tableColumn id="12" xr3:uid="{16D95820-4CB4-443E-9CB6-68539F047E36}" name="個人／事業所数" totalsRowFunction="sum" totalsRowDxfId="556" dataCellStyle="桁区切り" totalsRowCellStyle="桁区切り"/>
    <tableColumn id="13" xr3:uid="{BBBA35D8-8862-4307-BEAE-3701EC371E37}" name="個人／構成比" dataDxfId="555"/>
    <tableColumn id="14" xr3:uid="{BC915A8D-3338-4C17-B432-7EB072950AEB}" name="法人／事業所数" totalsRowFunction="sum" totalsRowDxfId="554" dataCellStyle="桁区切り" totalsRowCellStyle="桁区切り"/>
    <tableColumn id="15" xr3:uid="{88CE8D78-46E2-4F19-BE0D-6B7D7F48E43C}" name="法人／構成比" dataDxfId="553"/>
    <tableColumn id="16" xr3:uid="{359049F4-4887-4B29-A7E2-9AE5447781EB}" name="法人以外の団体／事業所数" totalsRowFunction="sum" totalsRowDxfId="552" dataCellStyle="桁区切り" totalsRowCellStyle="桁区切り"/>
  </tableColumns>
  <tableStyleInfo name="TableStyleMedium9" showFirstColumn="0" showLastColumn="0" showRowStripes="1" showColumnStripes="0"/>
</table>
</file>

<file path=xl/tables/table10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246A3C27-E2F4-4799-9B89-5E27DA63F27B}" name="M_TABLE_27203" displayName="M_TABLE_27203" ref="B23:I43" totalsRowShown="0">
  <autoFilter ref="B23:I43" xr:uid="{246A3C27-E2F4-4799-9B89-5E27DA63F27B}"/>
  <tableColumns count="8">
    <tableColumn id="9" xr3:uid="{1C75B69A-BBBE-42D1-8FF3-B709B5EF946F}" name="産業中分類上位２０"/>
    <tableColumn id="10" xr3:uid="{B177AC53-EC06-4078-B687-A917B31E369D}" name="総数／事業所数" dataCellStyle="桁区切り"/>
    <tableColumn id="11" xr3:uid="{4D221285-14F9-4648-8773-98AB96DF28A2}" name="総数／構成比" dataDxfId="551"/>
    <tableColumn id="12" xr3:uid="{E372C68B-2ED6-4B94-BE9B-4B9A1BAE3D7F}" name="個人／事業所数" dataCellStyle="桁区切り"/>
    <tableColumn id="13" xr3:uid="{087F27CD-7F31-4EE9-92FD-69A9A4492228}" name="個人／構成比" dataDxfId="550"/>
    <tableColumn id="14" xr3:uid="{7414EE1C-3961-4149-AF26-11C51EE5826C}" name="法人／事業所数" dataCellStyle="桁区切り"/>
    <tableColumn id="15" xr3:uid="{AD0F111E-DD9E-45DA-AAA0-1B9B283D5A7C}" name="法人／構成比" dataDxfId="549"/>
    <tableColumn id="16" xr3:uid="{DDE269C7-0E78-4401-9223-D01E4FDD1D75}" name="法人以外の団体／事業所数" dataCellStyle="桁区切り"/>
  </tableColumns>
  <tableStyleInfo name="TableStyleMedium9" showFirstColumn="0" showLastColumn="0" showRowStripes="1" showColumnStripes="0"/>
</table>
</file>

<file path=xl/tables/table10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942D3F30-0280-4220-950D-76DAB9DF7705}" name="S_TABLE_27203" displayName="S_TABLE_27203" ref="B46:I66" totalsRowShown="0">
  <autoFilter ref="B46:I66" xr:uid="{942D3F30-0280-4220-950D-76DAB9DF7705}"/>
  <tableColumns count="8">
    <tableColumn id="9" xr3:uid="{CAFC7358-AAF5-4E92-9A2C-6E2BB23C54BC}" name="産業小分類上位２０"/>
    <tableColumn id="10" xr3:uid="{2A224C62-67F1-4E39-8171-63AA509C284F}" name="総数／事業所数" dataCellStyle="桁区切り"/>
    <tableColumn id="11" xr3:uid="{4B37F06B-B194-4818-A045-406B269B8663}" name="総数／構成比" dataDxfId="548"/>
    <tableColumn id="12" xr3:uid="{BB0F4B98-479E-4BF1-9B67-D673F30F0E22}" name="個人／事業所数" dataCellStyle="桁区切り"/>
    <tableColumn id="13" xr3:uid="{CD1D6316-6C6C-40B4-BD48-3187ACEEBE21}" name="個人／構成比" dataDxfId="547"/>
    <tableColumn id="14" xr3:uid="{FDCC24F7-7F6A-418B-A28A-06B45FE26252}" name="法人／事業所数" dataCellStyle="桁区切り"/>
    <tableColumn id="15" xr3:uid="{BD619EAA-702D-4966-B07B-FF6965DD54BF}" name="法人／構成比" dataDxfId="546"/>
    <tableColumn id="16" xr3:uid="{4D3B7D95-2F36-4A25-B372-15F2C0F2475A}" name="法人以外の団体／事業所数" dataCellStyle="桁区切り"/>
  </tableColumns>
  <tableStyleInfo name="TableStyleMedium9" showFirstColumn="0" showLastColumn="0" showRowStripes="1" showColumnStripes="0"/>
</table>
</file>

<file path=xl/tables/table10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91FA6AEB-1287-448A-AB56-0538578F02D5}" name="LTBL_27204" displayName="LTBL_27204" ref="B4:I20" totalsRowCount="1">
  <autoFilter ref="B4:I19" xr:uid="{91FA6AEB-1287-448A-AB56-0538578F02D5}"/>
  <tableColumns count="8">
    <tableColumn id="9" xr3:uid="{FD6F2CF1-57D3-45B3-AA4C-A4EFBE353B73}" name="産業大分類" totalsRowLabel="合計" totalsRowDxfId="545"/>
    <tableColumn id="10" xr3:uid="{9935C8DF-00D5-4B21-A6CD-29B70D684E2B}" name="総数／事業所数" totalsRowFunction="custom" totalsRowDxfId="544" dataCellStyle="桁区切り" totalsRowCellStyle="桁区切り">
      <totalsRowFormula>SUM(LTBL_27204[総数／事業所数])</totalsRowFormula>
    </tableColumn>
    <tableColumn id="11" xr3:uid="{8363F1EA-41C3-4342-94DB-8136F1CB6DA4}" name="総数／構成比" dataDxfId="543"/>
    <tableColumn id="12" xr3:uid="{B5A32F6D-38FE-49B2-8642-4C49E2BDFFF8}" name="個人／事業所数" totalsRowFunction="sum" totalsRowDxfId="542" dataCellStyle="桁区切り" totalsRowCellStyle="桁区切り"/>
    <tableColumn id="13" xr3:uid="{2C8C2675-0975-4BB5-9CB7-6769E515D194}" name="個人／構成比" dataDxfId="541"/>
    <tableColumn id="14" xr3:uid="{39A5166C-4555-425B-B4B9-35B25903E8A5}" name="法人／事業所数" totalsRowFunction="sum" totalsRowDxfId="540" dataCellStyle="桁区切り" totalsRowCellStyle="桁区切り"/>
    <tableColumn id="15" xr3:uid="{3002C1DE-CD48-4F52-B6B9-F72C48342621}" name="法人／構成比" dataDxfId="539"/>
    <tableColumn id="16" xr3:uid="{74A91EF7-33CE-43B8-8020-492621B2177C}" name="法人以外の団体／事業所数" totalsRowFunction="sum" totalsRowDxfId="538" dataCellStyle="桁区切り" totalsRowCellStyle="桁区切り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EE102678-BC0C-41AA-A81D-DAC3C1290ABE}" name="M_TABLE_27103" displayName="M_TABLE_27103" ref="B23:I43" totalsRowShown="0">
  <autoFilter ref="B23:I43" xr:uid="{EE102678-BC0C-41AA-A81D-DAC3C1290ABE}"/>
  <tableColumns count="8">
    <tableColumn id="9" xr3:uid="{143383F0-2AB7-4213-BCA6-3E1FF84D7904}" name="産業中分類上位２０"/>
    <tableColumn id="10" xr3:uid="{CDA07FF0-1D64-45E3-BE6F-02F8690CE6CE}" name="総数／事業所数" dataCellStyle="桁区切り"/>
    <tableColumn id="11" xr3:uid="{14DC075E-06AB-4AF7-A6E4-892235E364CA}" name="総数／構成比" dataDxfId="999"/>
    <tableColumn id="12" xr3:uid="{E4258A57-B510-4973-B8ED-BB8A4807109F}" name="個人／事業所数" dataCellStyle="桁区切り"/>
    <tableColumn id="13" xr3:uid="{0A82511B-D77A-41E4-ADBE-8976763B4242}" name="個人／構成比" dataDxfId="998"/>
    <tableColumn id="14" xr3:uid="{DDC79F1A-1E98-4908-9422-5C31B0DFFCF8}" name="法人／事業所数" dataCellStyle="桁区切り"/>
    <tableColumn id="15" xr3:uid="{A3F3A82B-5D7E-4596-B03A-99362B26D755}" name="法人／構成比" dataDxfId="997"/>
    <tableColumn id="16" xr3:uid="{2DEFCEB9-8449-4DEF-825C-6959FB8DF578}" name="法人以外の団体／事業所数" dataCellStyle="桁区切り"/>
  </tableColumns>
  <tableStyleInfo name="TableStyleMedium9" showFirstColumn="0" showLastColumn="0" showRowStripes="1" showColumnStripes="0"/>
</table>
</file>

<file path=xl/tables/table1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D9B90079-56C7-4C25-BF52-F647166A7B4B}" name="M_TABLE_27204" displayName="M_TABLE_27204" ref="B23:I43" totalsRowShown="0">
  <autoFilter ref="B23:I43" xr:uid="{D9B90079-56C7-4C25-BF52-F647166A7B4B}"/>
  <tableColumns count="8">
    <tableColumn id="9" xr3:uid="{E486123B-C340-4002-A84A-70CECFE8616F}" name="産業中分類上位２０"/>
    <tableColumn id="10" xr3:uid="{C2B755A1-ADE8-4CB7-B521-45FC6D1602AB}" name="総数／事業所数" dataCellStyle="桁区切り"/>
    <tableColumn id="11" xr3:uid="{B84E69F2-E595-4991-90B6-77D0187F78D8}" name="総数／構成比" dataDxfId="537"/>
    <tableColumn id="12" xr3:uid="{E30E1972-477E-41A9-9140-5B00FFB1E04E}" name="個人／事業所数" dataCellStyle="桁区切り"/>
    <tableColumn id="13" xr3:uid="{FA80D3FA-3863-48DC-93F3-723466EA0012}" name="個人／構成比" dataDxfId="536"/>
    <tableColumn id="14" xr3:uid="{9F244FB0-770E-4654-8EBF-588F358E6EEE}" name="法人／事業所数" dataCellStyle="桁区切り"/>
    <tableColumn id="15" xr3:uid="{F4C4BFC0-A96F-4EE5-A08A-CA7498BDE402}" name="法人／構成比" dataDxfId="535"/>
    <tableColumn id="16" xr3:uid="{70BE5378-009F-492B-9EAF-F5C4E14332E7}" name="法人以外の団体／事業所数" dataCellStyle="桁区切り"/>
  </tableColumns>
  <tableStyleInfo name="TableStyleMedium9" showFirstColumn="0" showLastColumn="0" showRowStripes="1" showColumnStripes="0"/>
</table>
</file>

<file path=xl/tables/table1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0AD824AE-1B38-4771-B756-DAA2F9AF0511}" name="S_TABLE_27204" displayName="S_TABLE_27204" ref="B46:I68" totalsRowShown="0">
  <autoFilter ref="B46:I68" xr:uid="{0AD824AE-1B38-4771-B756-DAA2F9AF0511}"/>
  <tableColumns count="8">
    <tableColumn id="9" xr3:uid="{AC4F8E1E-03BE-4F69-9BD1-92B08F56AD68}" name="産業小分類上位２０"/>
    <tableColumn id="10" xr3:uid="{E7190ACD-4D1A-4511-83C0-48AAFE99A7C1}" name="総数／事業所数" dataCellStyle="桁区切り"/>
    <tableColumn id="11" xr3:uid="{6338B052-13C1-4E78-ABB6-15CB9F9F957C}" name="総数／構成比" dataDxfId="534"/>
    <tableColumn id="12" xr3:uid="{838A1EE6-A83A-49D0-8C7B-F19EDC2ACE28}" name="個人／事業所数" dataCellStyle="桁区切り"/>
    <tableColumn id="13" xr3:uid="{5640FEF9-F68D-4762-A48E-DAA4F0F2E36C}" name="個人／構成比" dataDxfId="533"/>
    <tableColumn id="14" xr3:uid="{D8A27184-9C9E-47F0-8CDE-4B01F06FF665}" name="法人／事業所数" dataCellStyle="桁区切り"/>
    <tableColumn id="15" xr3:uid="{CD8C3912-69BA-45F8-8269-73FBA554A985}" name="法人／構成比" dataDxfId="532"/>
    <tableColumn id="16" xr3:uid="{38F370A5-8C06-4FFA-867D-00A79E5AC067}" name="法人以外の団体／事業所数" dataCellStyle="桁区切り"/>
  </tableColumns>
  <tableStyleInfo name="TableStyleMedium9" showFirstColumn="0" showLastColumn="0" showRowStripes="1" showColumnStripes="0"/>
</table>
</file>

<file path=xl/tables/table1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E8320375-C7B0-4330-A544-D82BF096B1B3}" name="LTBL_27205" displayName="LTBL_27205" ref="B4:I20" totalsRowCount="1">
  <autoFilter ref="B4:I19" xr:uid="{E8320375-C7B0-4330-A544-D82BF096B1B3}"/>
  <tableColumns count="8">
    <tableColumn id="9" xr3:uid="{DD6894FA-C85F-4978-BAC0-F38771FE82A6}" name="産業大分類" totalsRowLabel="合計" totalsRowDxfId="531"/>
    <tableColumn id="10" xr3:uid="{D70FC819-76BA-4170-9B35-C93C8C76845D}" name="総数／事業所数" totalsRowFunction="custom" totalsRowDxfId="530" dataCellStyle="桁区切り" totalsRowCellStyle="桁区切り">
      <totalsRowFormula>SUM(LTBL_27205[総数／事業所数])</totalsRowFormula>
    </tableColumn>
    <tableColumn id="11" xr3:uid="{9B69EE0B-5145-47D2-8191-1206204E751D}" name="総数／構成比" dataDxfId="529"/>
    <tableColumn id="12" xr3:uid="{E1AA6EEA-5396-4BF0-A296-8759D194FCBB}" name="個人／事業所数" totalsRowFunction="sum" totalsRowDxfId="528" dataCellStyle="桁区切り" totalsRowCellStyle="桁区切り"/>
    <tableColumn id="13" xr3:uid="{0135F053-CF10-4C14-A6C1-FAC07428AFC7}" name="個人／構成比" dataDxfId="527"/>
    <tableColumn id="14" xr3:uid="{E330B34B-2595-4FBC-884E-0757846869D0}" name="法人／事業所数" totalsRowFunction="sum" totalsRowDxfId="526" dataCellStyle="桁区切り" totalsRowCellStyle="桁区切り"/>
    <tableColumn id="15" xr3:uid="{CA160A64-4F85-4C4B-B34B-D0B257C5FE8D}" name="法人／構成比" dataDxfId="525"/>
    <tableColumn id="16" xr3:uid="{57D83B3C-8057-40CB-A2A9-EF597B6254AA}" name="法人以外の団体／事業所数" totalsRowFunction="sum" totalsRowDxfId="524" dataCellStyle="桁区切り" totalsRowCellStyle="桁区切り"/>
  </tableColumns>
  <tableStyleInfo name="TableStyleMedium9" showFirstColumn="0" showLastColumn="0" showRowStripes="1" showColumnStripes="0"/>
</table>
</file>

<file path=xl/tables/table1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9FBA53A7-C47D-4245-9758-239BECE2ACCC}" name="M_TABLE_27205" displayName="M_TABLE_27205" ref="B23:I43" totalsRowShown="0">
  <autoFilter ref="B23:I43" xr:uid="{9FBA53A7-C47D-4245-9758-239BECE2ACCC}"/>
  <tableColumns count="8">
    <tableColumn id="9" xr3:uid="{2C062DA9-C06A-4B27-9E15-3C959F472083}" name="産業中分類上位２０"/>
    <tableColumn id="10" xr3:uid="{BF9D8A32-203D-40B0-BB95-548B32A3C8D0}" name="総数／事業所数" dataCellStyle="桁区切り"/>
    <tableColumn id="11" xr3:uid="{3C4CEF02-D9CE-4562-96E6-01A46CC09025}" name="総数／構成比" dataDxfId="523"/>
    <tableColumn id="12" xr3:uid="{87AA711F-D41A-4188-AF4E-B6FE2CA3C3FE}" name="個人／事業所数" dataCellStyle="桁区切り"/>
    <tableColumn id="13" xr3:uid="{516FD106-E4F9-4237-94E7-F8D224AAC187}" name="個人／構成比" dataDxfId="522"/>
    <tableColumn id="14" xr3:uid="{9A866DE2-9C77-43FE-82FB-BE448D61B48B}" name="法人／事業所数" dataCellStyle="桁区切り"/>
    <tableColumn id="15" xr3:uid="{54BAEE2F-E72D-4063-BE9F-5684B5158820}" name="法人／構成比" dataDxfId="521"/>
    <tableColumn id="16" xr3:uid="{F2FD91B6-D4A5-4096-B951-B84864B2A433}" name="法人以外の団体／事業所数" dataCellStyle="桁区切り"/>
  </tableColumns>
  <tableStyleInfo name="TableStyleMedium9" showFirstColumn="0" showLastColumn="0" showRowStripes="1" showColumnStripes="0"/>
</table>
</file>

<file path=xl/tables/table1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C8656A6D-5C5B-4943-85C6-0091FD09B526}" name="S_TABLE_27205" displayName="S_TABLE_27205" ref="B46:I66" totalsRowShown="0">
  <autoFilter ref="B46:I66" xr:uid="{C8656A6D-5C5B-4943-85C6-0091FD09B526}"/>
  <tableColumns count="8">
    <tableColumn id="9" xr3:uid="{8384FB0D-FB32-48F6-A8F3-515826681C57}" name="産業小分類上位２０"/>
    <tableColumn id="10" xr3:uid="{A17B89B5-4C54-4985-90D1-7B004CB33FB4}" name="総数／事業所数" dataCellStyle="桁区切り"/>
    <tableColumn id="11" xr3:uid="{C12EF74E-0648-417E-8E90-57B4266B8A87}" name="総数／構成比" dataDxfId="520"/>
    <tableColumn id="12" xr3:uid="{4BCB3876-1077-4F8E-AE9D-EED766D77DCC}" name="個人／事業所数" dataCellStyle="桁区切り"/>
    <tableColumn id="13" xr3:uid="{396CFD0C-8FC6-415D-B7A3-61FD5A95CDC6}" name="個人／構成比" dataDxfId="519"/>
    <tableColumn id="14" xr3:uid="{B1DBF5CD-C005-47C9-9ECC-B5B94F54E469}" name="法人／事業所数" dataCellStyle="桁区切り"/>
    <tableColumn id="15" xr3:uid="{AD29CAB4-5029-4202-A66A-EBA21A239DBA}" name="法人／構成比" dataDxfId="518"/>
    <tableColumn id="16" xr3:uid="{6852FBD2-71E8-43FC-9F10-10A9CA2E9BD7}" name="法人以外の団体／事業所数" dataCellStyle="桁区切り"/>
  </tableColumns>
  <tableStyleInfo name="TableStyleMedium9" showFirstColumn="0" showLastColumn="0" showRowStripes="1" showColumnStripes="0"/>
</table>
</file>

<file path=xl/tables/table1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1FD9609D-FEB0-45B4-BD86-D9A45DDE7DA5}" name="LTBL_27206" displayName="LTBL_27206" ref="B4:I20" totalsRowCount="1">
  <autoFilter ref="B4:I19" xr:uid="{1FD9609D-FEB0-45B4-BD86-D9A45DDE7DA5}"/>
  <tableColumns count="8">
    <tableColumn id="9" xr3:uid="{2554E809-6EC1-4196-8691-3B5C9AADEBFB}" name="産業大分類" totalsRowLabel="合計" totalsRowDxfId="517"/>
    <tableColumn id="10" xr3:uid="{BF315076-A72B-4A8C-90CB-D09B99B9BD21}" name="総数／事業所数" totalsRowFunction="custom" totalsRowDxfId="516" dataCellStyle="桁区切り" totalsRowCellStyle="桁区切り">
      <totalsRowFormula>SUM(LTBL_27206[総数／事業所数])</totalsRowFormula>
    </tableColumn>
    <tableColumn id="11" xr3:uid="{B40509DB-1FBA-499E-8714-E492FF25A460}" name="総数／構成比" dataDxfId="515"/>
    <tableColumn id="12" xr3:uid="{DAAD7C6D-FFC6-41D7-9E34-D2311B93D47C}" name="個人／事業所数" totalsRowFunction="sum" totalsRowDxfId="514" dataCellStyle="桁区切り" totalsRowCellStyle="桁区切り"/>
    <tableColumn id="13" xr3:uid="{E67C8D73-2ABB-4D61-87C9-7387DC1ADFE9}" name="個人／構成比" dataDxfId="513"/>
    <tableColumn id="14" xr3:uid="{10E97941-E180-4AEE-9E05-E16D7183A26D}" name="法人／事業所数" totalsRowFunction="sum" totalsRowDxfId="512" dataCellStyle="桁区切り" totalsRowCellStyle="桁区切り"/>
    <tableColumn id="15" xr3:uid="{58502426-DBAE-4859-86C2-69571848993F}" name="法人／構成比" dataDxfId="511"/>
    <tableColumn id="16" xr3:uid="{31B67E06-61BD-47FC-8CDF-04C0DAF53334}" name="法人以外の団体／事業所数" totalsRowFunction="sum" totalsRowDxfId="510" dataCellStyle="桁区切り" totalsRowCellStyle="桁区切り"/>
  </tableColumns>
  <tableStyleInfo name="TableStyleMedium9" showFirstColumn="0" showLastColumn="0" showRowStripes="1" showColumnStripes="0"/>
</table>
</file>

<file path=xl/tables/table1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DC34DFD1-35F3-4947-8378-BB3AE57B1078}" name="M_TABLE_27206" displayName="M_TABLE_27206" ref="B23:I44" totalsRowShown="0">
  <autoFilter ref="B23:I44" xr:uid="{DC34DFD1-35F3-4947-8378-BB3AE57B1078}"/>
  <tableColumns count="8">
    <tableColumn id="9" xr3:uid="{83157A8B-33C8-41F9-8420-A7ED75E94153}" name="産業中分類上位２０"/>
    <tableColumn id="10" xr3:uid="{6C84A24A-A4EB-4D25-B32B-AC1636A6853C}" name="総数／事業所数" dataCellStyle="桁区切り"/>
    <tableColumn id="11" xr3:uid="{7CBD8B75-991C-4313-B877-F98E9A0C3298}" name="総数／構成比" dataDxfId="509"/>
    <tableColumn id="12" xr3:uid="{455C5122-56ED-467F-9BFF-07E98A76604A}" name="個人／事業所数" dataCellStyle="桁区切り"/>
    <tableColumn id="13" xr3:uid="{BB9F9329-E293-4BFD-8B92-0AAB0AAC203F}" name="個人／構成比" dataDxfId="508"/>
    <tableColumn id="14" xr3:uid="{2A4721D2-7181-4D38-BFEF-157508F04B77}" name="法人／事業所数" dataCellStyle="桁区切り"/>
    <tableColumn id="15" xr3:uid="{1A2BFC76-2041-4D42-AB7B-79101AF0D662}" name="法人／構成比" dataDxfId="507"/>
    <tableColumn id="16" xr3:uid="{7AD9500C-BB5C-41B1-B2CF-CDC42E22A1FC}" name="法人以外の団体／事業所数" dataCellStyle="桁区切り"/>
  </tableColumns>
  <tableStyleInfo name="TableStyleMedium9" showFirstColumn="0" showLastColumn="0" showRowStripes="1" showColumnStripes="0"/>
</table>
</file>

<file path=xl/tables/table1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51C0BFA5-B1CB-46FD-8406-754933E84A8A}" name="S_TABLE_27206" displayName="S_TABLE_27206" ref="B47:I67" totalsRowShown="0">
  <autoFilter ref="B47:I67" xr:uid="{51C0BFA5-B1CB-46FD-8406-754933E84A8A}"/>
  <tableColumns count="8">
    <tableColumn id="9" xr3:uid="{AFBBE5FE-556F-4CD5-88AA-E99A9C13E55F}" name="産業小分類上位２０"/>
    <tableColumn id="10" xr3:uid="{1B6FD287-6D7B-461A-817F-57C89C47C79B}" name="総数／事業所数" dataCellStyle="桁区切り"/>
    <tableColumn id="11" xr3:uid="{C806F325-E9EF-48A0-8920-D5E0DBB23197}" name="総数／構成比" dataDxfId="506"/>
    <tableColumn id="12" xr3:uid="{1D872636-51BC-41BF-97B2-8C8C062485E3}" name="個人／事業所数" dataCellStyle="桁区切り"/>
    <tableColumn id="13" xr3:uid="{B00C1ACB-9B53-45DE-8B7B-E1550E43E16E}" name="個人／構成比" dataDxfId="505"/>
    <tableColumn id="14" xr3:uid="{75082316-1766-45F4-84FF-4A92CA5FDAB3}" name="法人／事業所数" dataCellStyle="桁区切り"/>
    <tableColumn id="15" xr3:uid="{7380FCF2-BA9C-416D-B48D-58D7E5D21A92}" name="法人／構成比" dataDxfId="504"/>
    <tableColumn id="16" xr3:uid="{00C14849-C50B-4EE8-9E77-31CF9F92AE27}" name="法人以外の団体／事業所数" dataCellStyle="桁区切り"/>
  </tableColumns>
  <tableStyleInfo name="TableStyleMedium9" showFirstColumn="0" showLastColumn="0" showRowStripes="1" showColumnStripes="0"/>
</table>
</file>

<file path=xl/tables/table1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D002D9D2-EAB1-4EEB-8455-F7F207A08B57}" name="LTBL_27207" displayName="LTBL_27207" ref="B4:I20" totalsRowCount="1">
  <autoFilter ref="B4:I19" xr:uid="{D002D9D2-EAB1-4EEB-8455-F7F207A08B57}"/>
  <tableColumns count="8">
    <tableColumn id="9" xr3:uid="{5699FEBB-94D4-4AE9-9F01-940FFCD6A38E}" name="産業大分類" totalsRowLabel="合計" totalsRowDxfId="503"/>
    <tableColumn id="10" xr3:uid="{9EA7763B-F79C-4E14-90A4-C1E5D1754BC5}" name="総数／事業所数" totalsRowFunction="custom" totalsRowDxfId="502" dataCellStyle="桁区切り" totalsRowCellStyle="桁区切り">
      <totalsRowFormula>SUM(LTBL_27207[総数／事業所数])</totalsRowFormula>
    </tableColumn>
    <tableColumn id="11" xr3:uid="{E9D125C9-85CF-4AAA-BB19-DA158C094BA1}" name="総数／構成比" dataDxfId="501"/>
    <tableColumn id="12" xr3:uid="{77E7BDDE-02FF-4DEC-A0A3-37B5F0614C75}" name="個人／事業所数" totalsRowFunction="sum" totalsRowDxfId="500" dataCellStyle="桁区切り" totalsRowCellStyle="桁区切り"/>
    <tableColumn id="13" xr3:uid="{BE6352DE-2409-4F1E-AE9C-D1E387BE1D03}" name="個人／構成比" dataDxfId="499"/>
    <tableColumn id="14" xr3:uid="{C489FCDA-EA3D-4615-B677-E5558B686479}" name="法人／事業所数" totalsRowFunction="sum" totalsRowDxfId="498" dataCellStyle="桁区切り" totalsRowCellStyle="桁区切り"/>
    <tableColumn id="15" xr3:uid="{B663FA81-0544-4B4C-9648-6F7AC899938C}" name="法人／構成比" dataDxfId="497"/>
    <tableColumn id="16" xr3:uid="{3970E33B-CB73-40F3-837D-B9459B5B5F1B}" name="法人以外の団体／事業所数" totalsRowFunction="sum" totalsRowDxfId="496" dataCellStyle="桁区切り" totalsRowCellStyle="桁区切り"/>
  </tableColumns>
  <tableStyleInfo name="TableStyleMedium9" showFirstColumn="0" showLastColumn="0" showRowStripes="1" showColumnStripes="0"/>
</table>
</file>

<file path=xl/tables/table1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A335DF65-D36E-4F32-8872-9774B20311D3}" name="M_TABLE_27207" displayName="M_TABLE_27207" ref="B23:I43" totalsRowShown="0">
  <autoFilter ref="B23:I43" xr:uid="{A335DF65-D36E-4F32-8872-9774B20311D3}"/>
  <tableColumns count="8">
    <tableColumn id="9" xr3:uid="{42ADD46C-4B72-4BB3-B265-C0B792E70F82}" name="産業中分類上位２０"/>
    <tableColumn id="10" xr3:uid="{3C41BB72-F7EF-4331-A8C6-55A85C8B6890}" name="総数／事業所数" dataCellStyle="桁区切り"/>
    <tableColumn id="11" xr3:uid="{C347BC6A-FFFC-437C-9009-66BB69F1DA4A}" name="総数／構成比" dataDxfId="495"/>
    <tableColumn id="12" xr3:uid="{CB5E2922-1D03-405A-8884-BD8465B8E260}" name="個人／事業所数" dataCellStyle="桁区切り"/>
    <tableColumn id="13" xr3:uid="{513D99F2-C9A7-4B53-927C-1FA24CFB250A}" name="個人／構成比" dataDxfId="494"/>
    <tableColumn id="14" xr3:uid="{153A7497-83F5-4510-82EF-7BE90FF80ABB}" name="法人／事業所数" dataCellStyle="桁区切り"/>
    <tableColumn id="15" xr3:uid="{E159DBD8-6589-424E-87B1-9F1969781845}" name="法人／構成比" dataDxfId="493"/>
    <tableColumn id="16" xr3:uid="{32C64FE4-3F03-4E0B-AE17-61DE010BFC07}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4FF2EDF8-A933-4FEC-8AFC-2E7001E63809}" name="S_TABLE_27103" displayName="S_TABLE_27103" ref="B46:I66" totalsRowShown="0">
  <autoFilter ref="B46:I66" xr:uid="{4FF2EDF8-A933-4FEC-8AFC-2E7001E63809}"/>
  <tableColumns count="8">
    <tableColumn id="9" xr3:uid="{98446402-335A-40A8-8C30-0B6C09CA42F0}" name="産業小分類上位２０"/>
    <tableColumn id="10" xr3:uid="{35F22C42-5AC3-4F80-90A0-32EA9DCEA05C}" name="総数／事業所数" dataCellStyle="桁区切り"/>
    <tableColumn id="11" xr3:uid="{4A22356E-DDE3-457D-8C9A-A0BD6B1FAD43}" name="総数／構成比" dataDxfId="996"/>
    <tableColumn id="12" xr3:uid="{F8F7D277-D260-4A81-80CD-99E4E28EE163}" name="個人／事業所数" dataCellStyle="桁区切り"/>
    <tableColumn id="13" xr3:uid="{1BF10167-2D35-4F7F-BF00-B8D45E4C4C6B}" name="個人／構成比" dataDxfId="995"/>
    <tableColumn id="14" xr3:uid="{01E6C605-F33E-42AA-AF5B-317CC0094809}" name="法人／事業所数" dataCellStyle="桁区切り"/>
    <tableColumn id="15" xr3:uid="{B19E6D6B-2E9D-474F-9963-BFD603F57617}" name="法人／構成比" dataDxfId="994"/>
    <tableColumn id="16" xr3:uid="{A74C18B9-4F5B-4B38-82E7-1936E0B40531}" name="法人以外の団体／事業所数" dataCellStyle="桁区切り"/>
  </tableColumns>
  <tableStyleInfo name="TableStyleMedium9" showFirstColumn="0" showLastColumn="0" showRowStripes="1" showColumnStripes="0"/>
</table>
</file>

<file path=xl/tables/table1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F638DD05-AA23-4B3C-B8FD-B53495674B31}" name="S_TABLE_27207" displayName="S_TABLE_27207" ref="B46:I66" totalsRowShown="0">
  <autoFilter ref="B46:I66" xr:uid="{F638DD05-AA23-4B3C-B8FD-B53495674B31}"/>
  <tableColumns count="8">
    <tableColumn id="9" xr3:uid="{33D5C2E0-9362-4432-8898-64EB30D5702E}" name="産業小分類上位２０"/>
    <tableColumn id="10" xr3:uid="{B2B04D66-C283-4434-9297-DA1B03F6A3EC}" name="総数／事業所数" dataCellStyle="桁区切り"/>
    <tableColumn id="11" xr3:uid="{613B028E-F5C4-4EAB-9359-07826232596D}" name="総数／構成比" dataDxfId="492"/>
    <tableColumn id="12" xr3:uid="{4EDD0269-BBE2-4D4E-B224-7921895606B1}" name="個人／事業所数" dataCellStyle="桁区切り"/>
    <tableColumn id="13" xr3:uid="{3C5DD85F-A4A1-4CB7-AF06-61F9A8CAA82B}" name="個人／構成比" dataDxfId="491"/>
    <tableColumn id="14" xr3:uid="{E5322534-2F65-4107-8E6D-2A311A93ED52}" name="法人／事業所数" dataCellStyle="桁区切り"/>
    <tableColumn id="15" xr3:uid="{ADB232E1-1D0F-41AA-AD6B-C36611D38EA1}" name="法人／構成比" dataDxfId="490"/>
    <tableColumn id="16" xr3:uid="{61642FBE-A4DF-426F-BFF9-E054B900EA99}" name="法人以外の団体／事業所数" dataCellStyle="桁区切り"/>
  </tableColumns>
  <tableStyleInfo name="TableStyleMedium9" showFirstColumn="0" showLastColumn="0" showRowStripes="1" showColumnStripes="0"/>
</table>
</file>

<file path=xl/tables/table1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0B15C9C6-B4C1-4713-A3B3-2C9D2644D18A}" name="LTBL_27208" displayName="LTBL_27208" ref="B4:I20" totalsRowCount="1">
  <autoFilter ref="B4:I19" xr:uid="{0B15C9C6-B4C1-4713-A3B3-2C9D2644D18A}"/>
  <tableColumns count="8">
    <tableColumn id="9" xr3:uid="{45113485-9D8D-4DF2-B0E7-7B8498C039AD}" name="産業大分類" totalsRowLabel="合計" totalsRowDxfId="489"/>
    <tableColumn id="10" xr3:uid="{F50587FF-B40C-413F-8E5A-0D10461C1505}" name="総数／事業所数" totalsRowFunction="custom" totalsRowDxfId="488" dataCellStyle="桁区切り" totalsRowCellStyle="桁区切り">
      <totalsRowFormula>SUM(LTBL_27208[総数／事業所数])</totalsRowFormula>
    </tableColumn>
    <tableColumn id="11" xr3:uid="{C4A65775-82C7-4BBF-8A57-52592F1788F4}" name="総数／構成比" dataDxfId="487"/>
    <tableColumn id="12" xr3:uid="{74A95F68-5CBC-4950-AF7B-88B93F3E57CD}" name="個人／事業所数" totalsRowFunction="sum" totalsRowDxfId="486" dataCellStyle="桁区切り" totalsRowCellStyle="桁区切り"/>
    <tableColumn id="13" xr3:uid="{90A1AC8D-5EDF-4A70-80D4-A9CD1235BC01}" name="個人／構成比" dataDxfId="485"/>
    <tableColumn id="14" xr3:uid="{F882B926-E468-4574-8D95-A1C301261B78}" name="法人／事業所数" totalsRowFunction="sum" totalsRowDxfId="484" dataCellStyle="桁区切り" totalsRowCellStyle="桁区切り"/>
    <tableColumn id="15" xr3:uid="{02F36B56-8C7C-4AAB-814F-304EA29A735F}" name="法人／構成比" dataDxfId="483"/>
    <tableColumn id="16" xr3:uid="{B3CCA9CC-2223-40BB-8C36-364DFD57EFF0}" name="法人以外の団体／事業所数" totalsRowFunction="sum" totalsRowDxfId="482" dataCellStyle="桁区切り" totalsRowCellStyle="桁区切り"/>
  </tableColumns>
  <tableStyleInfo name="TableStyleMedium9" showFirstColumn="0" showLastColumn="0" showRowStripes="1" showColumnStripes="0"/>
</table>
</file>

<file path=xl/tables/table1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B1911A1D-EC95-4931-B206-923681EA6F3B}" name="M_TABLE_27208" displayName="M_TABLE_27208" ref="B23:I43" totalsRowShown="0">
  <autoFilter ref="B23:I43" xr:uid="{B1911A1D-EC95-4931-B206-923681EA6F3B}"/>
  <tableColumns count="8">
    <tableColumn id="9" xr3:uid="{CB96F608-B62D-4F61-986C-4D2AA02934AF}" name="産業中分類上位２０"/>
    <tableColumn id="10" xr3:uid="{B8B8D2DA-4BD5-4880-AD18-2F35617F8200}" name="総数／事業所数" dataCellStyle="桁区切り"/>
    <tableColumn id="11" xr3:uid="{2A06457C-65E4-4957-A21F-97EBE23A2D7E}" name="総数／構成比" dataDxfId="481"/>
    <tableColumn id="12" xr3:uid="{B182920E-F6AE-42B4-9028-530B60B83EC7}" name="個人／事業所数" dataCellStyle="桁区切り"/>
    <tableColumn id="13" xr3:uid="{930DB944-004E-4527-82D5-6B7E73C84AAE}" name="個人／構成比" dataDxfId="480"/>
    <tableColumn id="14" xr3:uid="{22B7373A-7F06-4C91-BE36-37E436CFBDE4}" name="法人／事業所数" dataCellStyle="桁区切り"/>
    <tableColumn id="15" xr3:uid="{BA358FAB-D90B-4695-8734-E54471E72F6F}" name="法人／構成比" dataDxfId="479"/>
    <tableColumn id="16" xr3:uid="{6F948448-6555-4B6A-82A1-571448BF58ED}" name="法人以外の団体／事業所数" dataCellStyle="桁区切り"/>
  </tableColumns>
  <tableStyleInfo name="TableStyleMedium9" showFirstColumn="0" showLastColumn="0" showRowStripes="1" showColumnStripes="0"/>
</table>
</file>

<file path=xl/tables/table1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C4C2B5DF-D719-47A0-B21D-F9E15B18D798}" name="S_TABLE_27208" displayName="S_TABLE_27208" ref="B46:I66" totalsRowShown="0">
  <autoFilter ref="B46:I66" xr:uid="{C4C2B5DF-D719-47A0-B21D-F9E15B18D798}"/>
  <tableColumns count="8">
    <tableColumn id="9" xr3:uid="{C314C2F5-5166-4DA3-8705-68E1537F2C38}" name="産業小分類上位２０"/>
    <tableColumn id="10" xr3:uid="{789B165F-9102-4C23-9814-75ACA42D2103}" name="総数／事業所数" dataCellStyle="桁区切り"/>
    <tableColumn id="11" xr3:uid="{305205C7-A3CE-440D-9438-B89F65EAE24C}" name="総数／構成比" dataDxfId="478"/>
    <tableColumn id="12" xr3:uid="{E1CACB06-3733-4ABD-B3A1-83EB6328E8A2}" name="個人／事業所数" dataCellStyle="桁区切り"/>
    <tableColumn id="13" xr3:uid="{DB738499-D9FE-40A1-9588-88CC3E4EECC7}" name="個人／構成比" dataDxfId="477"/>
    <tableColumn id="14" xr3:uid="{AE600851-3AE5-416D-8971-A49858CA6D18}" name="法人／事業所数" dataCellStyle="桁区切り"/>
    <tableColumn id="15" xr3:uid="{013F8A80-5173-4B34-A21E-A6A157BA7611}" name="法人／構成比" dataDxfId="476"/>
    <tableColumn id="16" xr3:uid="{D2D563F1-E986-4B30-96B9-C07FB3435779}" name="法人以外の団体／事業所数" dataCellStyle="桁区切り"/>
  </tableColumns>
  <tableStyleInfo name="TableStyleMedium9" showFirstColumn="0" showLastColumn="0" showRowStripes="1" showColumnStripes="0"/>
</table>
</file>

<file path=xl/tables/table1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D0DB0449-1C05-43F9-B570-794CB3766184}" name="LTBL_27209" displayName="LTBL_27209" ref="B4:I20" totalsRowCount="1">
  <autoFilter ref="B4:I19" xr:uid="{D0DB0449-1C05-43F9-B570-794CB3766184}"/>
  <tableColumns count="8">
    <tableColumn id="9" xr3:uid="{63C0D502-0871-439E-8469-0D7FD5D2CC2A}" name="産業大分類" totalsRowLabel="合計" totalsRowDxfId="475"/>
    <tableColumn id="10" xr3:uid="{CAE2A830-E3B9-46CB-A4C1-0A63CD0DB5E7}" name="総数／事業所数" totalsRowFunction="custom" totalsRowDxfId="474" dataCellStyle="桁区切り" totalsRowCellStyle="桁区切り">
      <totalsRowFormula>SUM(LTBL_27209[総数／事業所数])</totalsRowFormula>
    </tableColumn>
    <tableColumn id="11" xr3:uid="{38883A8F-728A-43B6-9DF9-5DCF7C5E620C}" name="総数／構成比" dataDxfId="473"/>
    <tableColumn id="12" xr3:uid="{38F65997-436F-4409-844E-ABBA41EF2F5A}" name="個人／事業所数" totalsRowFunction="sum" totalsRowDxfId="472" dataCellStyle="桁区切り" totalsRowCellStyle="桁区切り"/>
    <tableColumn id="13" xr3:uid="{1657854E-F53E-4FA8-9065-F10F5FF853DE}" name="個人／構成比" dataDxfId="471"/>
    <tableColumn id="14" xr3:uid="{7999E432-0E06-4A12-B3BA-A238CF7F14D9}" name="法人／事業所数" totalsRowFunction="sum" totalsRowDxfId="470" dataCellStyle="桁区切り" totalsRowCellStyle="桁区切り"/>
    <tableColumn id="15" xr3:uid="{FD724B44-41E1-4D9D-9724-FE44E18C3173}" name="法人／構成比" dataDxfId="469"/>
    <tableColumn id="16" xr3:uid="{2C068050-A140-49D3-AEEC-DD6EC6FC8193}" name="法人以外の団体／事業所数" totalsRowFunction="sum" totalsRowDxfId="468" dataCellStyle="桁区切り" totalsRowCellStyle="桁区切り"/>
  </tableColumns>
  <tableStyleInfo name="TableStyleMedium9" showFirstColumn="0" showLastColumn="0" showRowStripes="1" showColumnStripes="0"/>
</table>
</file>

<file path=xl/tables/table1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8CA315DA-29B6-4086-A59D-6BA3A7E77D05}" name="M_TABLE_27209" displayName="M_TABLE_27209" ref="B23:I43" totalsRowShown="0">
  <autoFilter ref="B23:I43" xr:uid="{8CA315DA-29B6-4086-A59D-6BA3A7E77D05}"/>
  <tableColumns count="8">
    <tableColumn id="9" xr3:uid="{975C8F9C-D375-4A20-98CF-F7919C31262B}" name="産業中分類上位２０"/>
    <tableColumn id="10" xr3:uid="{BA495D39-1A29-4431-8A7B-74AE5D3D175F}" name="総数／事業所数" dataCellStyle="桁区切り"/>
    <tableColumn id="11" xr3:uid="{B8338ED6-9991-4944-AB5A-F63169C6F977}" name="総数／構成比" dataDxfId="467"/>
    <tableColumn id="12" xr3:uid="{1A006CE5-31BD-4A52-BF9E-175FD4B88E60}" name="個人／事業所数" dataCellStyle="桁区切り"/>
    <tableColumn id="13" xr3:uid="{50994D00-373D-4109-9839-7FBF7047F297}" name="個人／構成比" dataDxfId="466"/>
    <tableColumn id="14" xr3:uid="{3FFC1C03-C06F-4C1F-A6CB-6EBE27CF9F77}" name="法人／事業所数" dataCellStyle="桁区切り"/>
    <tableColumn id="15" xr3:uid="{930C86FA-019A-4965-B713-86B2A0AB23D1}" name="法人／構成比" dataDxfId="465"/>
    <tableColumn id="16" xr3:uid="{F75165CD-40D8-4DDD-BED5-7071EFEBF17B}" name="法人以外の団体／事業所数" dataCellStyle="桁区切り"/>
  </tableColumns>
  <tableStyleInfo name="TableStyleMedium9" showFirstColumn="0" showLastColumn="0" showRowStripes="1" showColumnStripes="0"/>
</table>
</file>

<file path=xl/tables/table1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2D2B99FA-A388-4337-B93E-EDDD5C859281}" name="S_TABLE_27209" displayName="S_TABLE_27209" ref="B46:I67" totalsRowShown="0">
  <autoFilter ref="B46:I67" xr:uid="{2D2B99FA-A388-4337-B93E-EDDD5C859281}"/>
  <tableColumns count="8">
    <tableColumn id="9" xr3:uid="{CD7F92E2-86C8-4EF1-A57E-D0EC94E913FF}" name="産業小分類上位２０"/>
    <tableColumn id="10" xr3:uid="{7FE6584C-E4BA-4096-8980-16E527A8DB00}" name="総数／事業所数" dataCellStyle="桁区切り"/>
    <tableColumn id="11" xr3:uid="{E7ED6543-0E72-417E-8489-C33EFBFA9CBD}" name="総数／構成比" dataDxfId="464"/>
    <tableColumn id="12" xr3:uid="{CFFCDEAB-7EE4-4112-857C-8B1EECA8D08F}" name="個人／事業所数" dataCellStyle="桁区切り"/>
    <tableColumn id="13" xr3:uid="{7BEC20CF-CDD6-4027-8CE0-7A3A8CBACDCB}" name="個人／構成比" dataDxfId="463"/>
    <tableColumn id="14" xr3:uid="{B91D0468-A64E-445A-8020-DB43DDC8A477}" name="法人／事業所数" dataCellStyle="桁区切り"/>
    <tableColumn id="15" xr3:uid="{0DB1C487-8E0E-4257-BEAF-19E609F9080E}" name="法人／構成比" dataDxfId="462"/>
    <tableColumn id="16" xr3:uid="{04A2C3E0-C7E6-4105-A567-D71FD81B6E63}" name="法人以外の団体／事業所数" dataCellStyle="桁区切り"/>
  </tableColumns>
  <tableStyleInfo name="TableStyleMedium9" showFirstColumn="0" showLastColumn="0" showRowStripes="1" showColumnStripes="0"/>
</table>
</file>

<file path=xl/tables/table1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E8A10EFB-AC45-4064-8034-161BE0A5B23A}" name="LTBL_27210" displayName="LTBL_27210" ref="B4:I20" totalsRowCount="1">
  <autoFilter ref="B4:I19" xr:uid="{E8A10EFB-AC45-4064-8034-161BE0A5B23A}"/>
  <tableColumns count="8">
    <tableColumn id="9" xr3:uid="{C477758D-15AC-4F7B-8F12-33D94D8086F5}" name="産業大分類" totalsRowLabel="合計" totalsRowDxfId="461"/>
    <tableColumn id="10" xr3:uid="{E654E3C4-A473-4DC0-A93C-5F5C0164A4C7}" name="総数／事業所数" totalsRowFunction="custom" totalsRowDxfId="460" dataCellStyle="桁区切り" totalsRowCellStyle="桁区切り">
      <totalsRowFormula>SUM(LTBL_27210[総数／事業所数])</totalsRowFormula>
    </tableColumn>
    <tableColumn id="11" xr3:uid="{8A23CC9A-C310-4234-8052-66F003E0C8AD}" name="総数／構成比" dataDxfId="459"/>
    <tableColumn id="12" xr3:uid="{A6FAE404-7004-4CEF-8B29-1AC3845A836C}" name="個人／事業所数" totalsRowFunction="sum" totalsRowDxfId="458" dataCellStyle="桁区切り" totalsRowCellStyle="桁区切り"/>
    <tableColumn id="13" xr3:uid="{F3529148-C1BE-42AE-A763-11E8300E8B05}" name="個人／構成比" dataDxfId="457"/>
    <tableColumn id="14" xr3:uid="{7A7AA602-47CB-43F0-9430-62DFFCE6D6B4}" name="法人／事業所数" totalsRowFunction="sum" totalsRowDxfId="456" dataCellStyle="桁区切り" totalsRowCellStyle="桁区切り"/>
    <tableColumn id="15" xr3:uid="{5BFE3C74-7B2C-4AC9-B92F-80E93DB69802}" name="法人／構成比" dataDxfId="455"/>
    <tableColumn id="16" xr3:uid="{CBE63B91-EA18-40B1-937E-A0F763304D2A}" name="法人以外の団体／事業所数" totalsRowFunction="sum" totalsRowDxfId="454" dataCellStyle="桁区切り" totalsRowCellStyle="桁区切り"/>
  </tableColumns>
  <tableStyleInfo name="TableStyleMedium9" showFirstColumn="0" showLastColumn="0" showRowStripes="1" showColumnStripes="0"/>
</table>
</file>

<file path=xl/tables/table1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637EF493-E872-4387-B929-D1171644F522}" name="M_TABLE_27210" displayName="M_TABLE_27210" ref="B23:I44" totalsRowShown="0">
  <autoFilter ref="B23:I44" xr:uid="{637EF493-E872-4387-B929-D1171644F522}"/>
  <tableColumns count="8">
    <tableColumn id="9" xr3:uid="{F96A815B-1DE9-413D-8898-9A2799271EC5}" name="産業中分類上位２０"/>
    <tableColumn id="10" xr3:uid="{268A6B74-D9FE-4CFD-9A52-190AA33E6347}" name="総数／事業所数" dataCellStyle="桁区切り"/>
    <tableColumn id="11" xr3:uid="{230CAEBD-F56F-4FF6-8805-D0E7E3A29790}" name="総数／構成比" dataDxfId="453"/>
    <tableColumn id="12" xr3:uid="{AD1FEE72-CBA5-40EC-9144-C453E93A6508}" name="個人／事業所数" dataCellStyle="桁区切り"/>
    <tableColumn id="13" xr3:uid="{F2E238B5-C2E4-4370-9DBD-8B59CDAEE9BA}" name="個人／構成比" dataDxfId="452"/>
    <tableColumn id="14" xr3:uid="{A97918A4-EA79-4E17-9AF1-31D60CD8B743}" name="法人／事業所数" dataCellStyle="桁区切り"/>
    <tableColumn id="15" xr3:uid="{58519602-E343-4DCD-B827-721921D238CB}" name="法人／構成比" dataDxfId="451"/>
    <tableColumn id="16" xr3:uid="{BFE64E15-77B7-4BF9-9807-A8F7D9498BB1}" name="法人以外の団体／事業所数" dataCellStyle="桁区切り"/>
  </tableColumns>
  <tableStyleInfo name="TableStyleMedium9" showFirstColumn="0" showLastColumn="0" showRowStripes="1" showColumnStripes="0"/>
</table>
</file>

<file path=xl/tables/table1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9" xr:uid="{36B0EAE9-F107-4BB6-87F9-1E3210603C10}" name="S_TABLE_27210" displayName="S_TABLE_27210" ref="B47:I67" totalsRowShown="0">
  <autoFilter ref="B47:I67" xr:uid="{36B0EAE9-F107-4BB6-87F9-1E3210603C10}"/>
  <tableColumns count="8">
    <tableColumn id="9" xr3:uid="{26D12F5D-34BC-42CB-A8B3-021A8E076704}" name="産業小分類上位２０"/>
    <tableColumn id="10" xr3:uid="{9734201D-8CD9-4126-A924-A5ACDB5E1F30}" name="総数／事業所数" dataCellStyle="桁区切り"/>
    <tableColumn id="11" xr3:uid="{5B2AA096-2794-4AEE-855C-3061B5200653}" name="総数／構成比" dataDxfId="450"/>
    <tableColumn id="12" xr3:uid="{D9B9E83D-082E-4D89-ABC5-927E7B028C9C}" name="個人／事業所数" dataCellStyle="桁区切り"/>
    <tableColumn id="13" xr3:uid="{9777CEFC-A3E0-4831-A7A0-3BDD4D4AFB4D}" name="個人／構成比" dataDxfId="449"/>
    <tableColumn id="14" xr3:uid="{A4E2A8DA-ADA7-4C94-A5D9-D873CB9F6920}" name="法人／事業所数" dataCellStyle="桁区切り"/>
    <tableColumn id="15" xr3:uid="{F8415670-8C25-428A-8B6F-7D16E9C60F20}" name="法人／構成比" dataDxfId="448"/>
    <tableColumn id="16" xr3:uid="{65F3EA95-C14D-490B-88E1-47144876346F}" name="法人以外の団体／事業所数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D6C1B6BC-0FDA-4CA2-8CD4-ECFEA7FCF70F}" name="LTBL_27104" displayName="LTBL_27104" ref="B4:I20" totalsRowCount="1">
  <autoFilter ref="B4:I19" xr:uid="{D6C1B6BC-0FDA-4CA2-8CD4-ECFEA7FCF70F}"/>
  <tableColumns count="8">
    <tableColumn id="9" xr3:uid="{BE357588-91D9-42D0-A767-ABF6A962EF97}" name="産業大分類" totalsRowLabel="合計" totalsRowDxfId="993"/>
    <tableColumn id="10" xr3:uid="{D946169B-5418-48A8-84D9-656294EF7E9A}" name="総数／事業所数" totalsRowFunction="custom" totalsRowDxfId="992" dataCellStyle="桁区切り" totalsRowCellStyle="桁区切り">
      <totalsRowFormula>SUM(LTBL_27104[総数／事業所数])</totalsRowFormula>
    </tableColumn>
    <tableColumn id="11" xr3:uid="{FBB868BB-E457-4559-80D0-4A7978AF4DE2}" name="総数／構成比" dataDxfId="991"/>
    <tableColumn id="12" xr3:uid="{5287DBAA-FF97-456F-990B-380884F3CA8C}" name="個人／事業所数" totalsRowFunction="sum" totalsRowDxfId="990" dataCellStyle="桁区切り" totalsRowCellStyle="桁区切り"/>
    <tableColumn id="13" xr3:uid="{D01B3D83-5FAD-417F-A03E-B3D6927E7CBE}" name="個人／構成比" dataDxfId="989"/>
    <tableColumn id="14" xr3:uid="{92ADCD81-7B46-4D08-9DA3-D6CD15259B4B}" name="法人／事業所数" totalsRowFunction="sum" totalsRowDxfId="988" dataCellStyle="桁区切り" totalsRowCellStyle="桁区切り"/>
    <tableColumn id="15" xr3:uid="{3F79A592-8A86-44DA-9C0D-BF0690E3EAAF}" name="法人／構成比" dataDxfId="987"/>
    <tableColumn id="16" xr3:uid="{7A51806C-92CB-4A4E-AC0D-8436904227E3}" name="法人以外の団体／事業所数" totalsRowFunction="sum" totalsRowDxfId="986" dataCellStyle="桁区切り" totalsRowCellStyle="桁区切り"/>
  </tableColumns>
  <tableStyleInfo name="TableStyleMedium9" showFirstColumn="0" showLastColumn="0" showRowStripes="1" showColumnStripes="0"/>
</table>
</file>

<file path=xl/tables/table1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0" xr:uid="{31ED2EB3-C88F-4D70-A078-A00E037F1A60}" name="LTBL_27211" displayName="LTBL_27211" ref="B4:I20" totalsRowCount="1">
  <autoFilter ref="B4:I19" xr:uid="{31ED2EB3-C88F-4D70-A078-A00E037F1A60}"/>
  <tableColumns count="8">
    <tableColumn id="9" xr3:uid="{34617056-EF7D-45CD-B0C8-4D5EC982A479}" name="産業大分類" totalsRowLabel="合計" totalsRowDxfId="447"/>
    <tableColumn id="10" xr3:uid="{2AEF52B1-D072-49AC-90E2-7CB45D92BFAF}" name="総数／事業所数" totalsRowFunction="custom" totalsRowDxfId="446" dataCellStyle="桁区切り" totalsRowCellStyle="桁区切り">
      <totalsRowFormula>SUM(LTBL_27211[総数／事業所数])</totalsRowFormula>
    </tableColumn>
    <tableColumn id="11" xr3:uid="{107BD46A-0024-4032-B954-EEE4E4A779D2}" name="総数／構成比" dataDxfId="445"/>
    <tableColumn id="12" xr3:uid="{2309FD73-11DE-47C4-A31B-A12097E03903}" name="個人／事業所数" totalsRowFunction="sum" totalsRowDxfId="444" dataCellStyle="桁区切り" totalsRowCellStyle="桁区切り"/>
    <tableColumn id="13" xr3:uid="{F98CAB85-C0F2-40E6-B327-5507965EB4AA}" name="個人／構成比" dataDxfId="443"/>
    <tableColumn id="14" xr3:uid="{BED307DD-8FB8-40E6-BE42-D9F9540F9657}" name="法人／事業所数" totalsRowFunction="sum" totalsRowDxfId="442" dataCellStyle="桁区切り" totalsRowCellStyle="桁区切り"/>
    <tableColumn id="15" xr3:uid="{16BC55AB-2C95-43F3-9503-BD0F029DDE29}" name="法人／構成比" dataDxfId="441"/>
    <tableColumn id="16" xr3:uid="{5662177B-FC1A-4147-AFBD-3B0B56AF799D}" name="法人以外の団体／事業所数" totalsRowFunction="sum" totalsRowDxfId="440" dataCellStyle="桁区切り" totalsRowCellStyle="桁区切り"/>
  </tableColumns>
  <tableStyleInfo name="TableStyleMedium9" showFirstColumn="0" showLastColumn="0" showRowStripes="1" showColumnStripes="0"/>
</table>
</file>

<file path=xl/tables/table1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1" xr:uid="{7CCC7DDF-9D2B-45C6-9B6C-2E1F80DB3C2F}" name="M_TABLE_27211" displayName="M_TABLE_27211" ref="B23:I43" totalsRowShown="0">
  <autoFilter ref="B23:I43" xr:uid="{7CCC7DDF-9D2B-45C6-9B6C-2E1F80DB3C2F}"/>
  <tableColumns count="8">
    <tableColumn id="9" xr3:uid="{8C0E0CB2-2BB5-4445-914F-2E993753AE4E}" name="産業中分類上位２０"/>
    <tableColumn id="10" xr3:uid="{F74DAF98-C4EE-498E-A670-A79E196C7D92}" name="総数／事業所数" dataCellStyle="桁区切り"/>
    <tableColumn id="11" xr3:uid="{2BFFF238-D693-45B6-8DAD-F4C3494B718F}" name="総数／構成比" dataDxfId="439"/>
    <tableColumn id="12" xr3:uid="{11E8203F-21DC-4548-8E91-42FFBF9B7C64}" name="個人／事業所数" dataCellStyle="桁区切り"/>
    <tableColumn id="13" xr3:uid="{F66083AC-F6B0-4B19-B577-3452BF24EB05}" name="個人／構成比" dataDxfId="438"/>
    <tableColumn id="14" xr3:uid="{89A82F96-3945-464D-AF20-6F878C28D321}" name="法人／事業所数" dataCellStyle="桁区切り"/>
    <tableColumn id="15" xr3:uid="{5A6F3336-39F2-4C38-ACA7-909366B650DD}" name="法人／構成比" dataDxfId="437"/>
    <tableColumn id="16" xr3:uid="{626AEA83-D8E4-48D6-9357-DA52080ABEEC}" name="法人以外の団体／事業所数" dataCellStyle="桁区切り"/>
  </tableColumns>
  <tableStyleInfo name="TableStyleMedium9" showFirstColumn="0" showLastColumn="0" showRowStripes="1" showColumnStripes="0"/>
</table>
</file>

<file path=xl/tables/table1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2" xr:uid="{A701698A-BFCB-4D40-A04F-08743D591CA7}" name="S_TABLE_27211" displayName="S_TABLE_27211" ref="B46:I66" totalsRowShown="0">
  <autoFilter ref="B46:I66" xr:uid="{A701698A-BFCB-4D40-A04F-08743D591CA7}"/>
  <tableColumns count="8">
    <tableColumn id="9" xr3:uid="{0CCA3D37-B6B3-415E-8479-12A7DB72F61F}" name="産業小分類上位２０"/>
    <tableColumn id="10" xr3:uid="{6ECAECBA-7748-4734-A17B-5D2A050E0DE6}" name="総数／事業所数" dataCellStyle="桁区切り"/>
    <tableColumn id="11" xr3:uid="{300AEFCB-32A1-48CD-AE3B-95C092DB3926}" name="総数／構成比" dataDxfId="436"/>
    <tableColumn id="12" xr3:uid="{8A49A8D3-3A65-4DB4-AADE-75A602DB4065}" name="個人／事業所数" dataCellStyle="桁区切り"/>
    <tableColumn id="13" xr3:uid="{3F879471-6699-43B3-9CE6-54D3487C85AB}" name="個人／構成比" dataDxfId="435"/>
    <tableColumn id="14" xr3:uid="{F238A4DE-6E25-4D95-BA6A-B4DB44919152}" name="法人／事業所数" dataCellStyle="桁区切り"/>
    <tableColumn id="15" xr3:uid="{9B6A0CD1-B767-4E7E-AE32-5DF0AC1AD551}" name="法人／構成比" dataDxfId="434"/>
    <tableColumn id="16" xr3:uid="{ADE0354B-6411-48BF-8A0A-A7CBE1797F99}" name="法人以外の団体／事業所数" dataCellStyle="桁区切り"/>
  </tableColumns>
  <tableStyleInfo name="TableStyleMedium9" showFirstColumn="0" showLastColumn="0" showRowStripes="1" showColumnStripes="0"/>
</table>
</file>

<file path=xl/tables/table1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3" xr:uid="{5D4393EA-6560-4F3C-B599-9118939A8D81}" name="LTBL_27212" displayName="LTBL_27212" ref="B4:I20" totalsRowCount="1">
  <autoFilter ref="B4:I19" xr:uid="{5D4393EA-6560-4F3C-B599-9118939A8D81}"/>
  <tableColumns count="8">
    <tableColumn id="9" xr3:uid="{66C5A252-5D9A-41E4-B6E9-465D1BCF0920}" name="産業大分類" totalsRowLabel="合計" totalsRowDxfId="433"/>
    <tableColumn id="10" xr3:uid="{A53A6BF3-F05A-4FBB-BE6E-9EB6CBF8A6B0}" name="総数／事業所数" totalsRowFunction="custom" totalsRowDxfId="432" dataCellStyle="桁区切り" totalsRowCellStyle="桁区切り">
      <totalsRowFormula>SUM(LTBL_27212[総数／事業所数])</totalsRowFormula>
    </tableColumn>
    <tableColumn id="11" xr3:uid="{0DBE29B3-4695-4182-BF81-76CF5088E18F}" name="総数／構成比" dataDxfId="431"/>
    <tableColumn id="12" xr3:uid="{93ACF62C-EFC8-47E9-8E89-AC95F54ED75C}" name="個人／事業所数" totalsRowFunction="sum" totalsRowDxfId="430" dataCellStyle="桁区切り" totalsRowCellStyle="桁区切り"/>
    <tableColumn id="13" xr3:uid="{DB8B335B-7B38-4EEE-A868-AE1A76D6161D}" name="個人／構成比" dataDxfId="429"/>
    <tableColumn id="14" xr3:uid="{003D7CC1-0B40-4247-8471-0B364E387887}" name="法人／事業所数" totalsRowFunction="sum" totalsRowDxfId="428" dataCellStyle="桁区切り" totalsRowCellStyle="桁区切り"/>
    <tableColumn id="15" xr3:uid="{F3DC0731-DF90-4886-8E71-FE29023B9EA5}" name="法人／構成比" dataDxfId="427"/>
    <tableColumn id="16" xr3:uid="{51C56614-C04F-45F0-99E2-837EAA3B809D}" name="法人以外の団体／事業所数" totalsRowFunction="sum" totalsRowDxfId="426" dataCellStyle="桁区切り" totalsRowCellStyle="桁区切り"/>
  </tableColumns>
  <tableStyleInfo name="TableStyleMedium9" showFirstColumn="0" showLastColumn="0" showRowStripes="1" showColumnStripes="0"/>
</table>
</file>

<file path=xl/tables/table1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4" xr:uid="{D2F07D45-8DA0-422E-996B-F661E357DE9E}" name="M_TABLE_27212" displayName="M_TABLE_27212" ref="B23:I43" totalsRowShown="0">
  <autoFilter ref="B23:I43" xr:uid="{D2F07D45-8DA0-422E-996B-F661E357DE9E}"/>
  <tableColumns count="8">
    <tableColumn id="9" xr3:uid="{94100A7E-41AF-443E-ADE5-B13E09A712CB}" name="産業中分類上位２０"/>
    <tableColumn id="10" xr3:uid="{976DA0E3-F151-4E6E-B591-97F119B3E300}" name="総数／事業所数" dataCellStyle="桁区切り"/>
    <tableColumn id="11" xr3:uid="{C7BA45CF-6140-4883-8212-B25BFE997A83}" name="総数／構成比" dataDxfId="425"/>
    <tableColumn id="12" xr3:uid="{088F00FB-F9F0-4CBC-9604-193802A9BE34}" name="個人／事業所数" dataCellStyle="桁区切り"/>
    <tableColumn id="13" xr3:uid="{920791DF-D86E-4F00-AB6B-191BF70F8625}" name="個人／構成比" dataDxfId="424"/>
    <tableColumn id="14" xr3:uid="{7E948950-B349-4056-8E2B-C674BCC87824}" name="法人／事業所数" dataCellStyle="桁区切り"/>
    <tableColumn id="15" xr3:uid="{0FF368DD-D6DB-4D01-93EE-8ED08F0838C7}" name="法人／構成比" dataDxfId="423"/>
    <tableColumn id="16" xr3:uid="{5B57A239-27FD-4A86-8C2F-D9FDBB431BFE}" name="法人以外の団体／事業所数" dataCellStyle="桁区切り"/>
  </tableColumns>
  <tableStyleInfo name="TableStyleMedium9" showFirstColumn="0" showLastColumn="0" showRowStripes="1" showColumnStripes="0"/>
</table>
</file>

<file path=xl/tables/table1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5" xr:uid="{CE9F6741-7299-4379-8193-0EC5C9AF6F15}" name="S_TABLE_27212" displayName="S_TABLE_27212" ref="B46:I66" totalsRowShown="0">
  <autoFilter ref="B46:I66" xr:uid="{CE9F6741-7299-4379-8193-0EC5C9AF6F15}"/>
  <tableColumns count="8">
    <tableColumn id="9" xr3:uid="{914E35D0-AA91-4A77-823A-57BEC7D8DC0D}" name="産業小分類上位２０"/>
    <tableColumn id="10" xr3:uid="{62658FE2-B77D-4CA8-8CBF-1C6BB942A6E7}" name="総数／事業所数" dataCellStyle="桁区切り"/>
    <tableColumn id="11" xr3:uid="{836BDA7E-BA78-4AE8-B700-D6205A356A1B}" name="総数／構成比" dataDxfId="422"/>
    <tableColumn id="12" xr3:uid="{45CEDF61-E759-4F4A-939E-3975B884B774}" name="個人／事業所数" dataCellStyle="桁区切り"/>
    <tableColumn id="13" xr3:uid="{C9A837EF-470C-4432-A884-9FAD89E59FB5}" name="個人／構成比" dataDxfId="421"/>
    <tableColumn id="14" xr3:uid="{45D4D694-4D79-4E87-936B-AF84D74D8802}" name="法人／事業所数" dataCellStyle="桁区切り"/>
    <tableColumn id="15" xr3:uid="{ECF262C5-CF3F-481F-AAA8-A0209F57A784}" name="法人／構成比" dataDxfId="420"/>
    <tableColumn id="16" xr3:uid="{4BC4EC79-4F66-4217-8668-23A750B73847}" name="法人以外の団体／事業所数" dataCellStyle="桁区切り"/>
  </tableColumns>
  <tableStyleInfo name="TableStyleMedium9" showFirstColumn="0" showLastColumn="0" showRowStripes="1" showColumnStripes="0"/>
</table>
</file>

<file path=xl/tables/table1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6" xr:uid="{11FEC60C-16E1-40FD-ACC4-2BBD7832527A}" name="LTBL_27213" displayName="LTBL_27213" ref="B4:I20" totalsRowCount="1">
  <autoFilter ref="B4:I19" xr:uid="{11FEC60C-16E1-40FD-ACC4-2BBD7832527A}"/>
  <tableColumns count="8">
    <tableColumn id="9" xr3:uid="{AD93A0B5-BC00-4444-B7F1-AB4F42459CB8}" name="産業大分類" totalsRowLabel="合計" totalsRowDxfId="419"/>
    <tableColumn id="10" xr3:uid="{14793673-213A-4A6B-83BD-3B0E4DACDEBB}" name="総数／事業所数" totalsRowFunction="custom" totalsRowDxfId="418" dataCellStyle="桁区切り" totalsRowCellStyle="桁区切り">
      <totalsRowFormula>SUM(LTBL_27213[総数／事業所数])</totalsRowFormula>
    </tableColumn>
    <tableColumn id="11" xr3:uid="{2BACA4ED-4D9D-4D0C-B31B-954F8B562AD7}" name="総数／構成比" dataDxfId="417"/>
    <tableColumn id="12" xr3:uid="{00BF2CD9-A8AF-4765-B5B4-DF865DE8768D}" name="個人／事業所数" totalsRowFunction="sum" totalsRowDxfId="416" dataCellStyle="桁区切り" totalsRowCellStyle="桁区切り"/>
    <tableColumn id="13" xr3:uid="{6C2B7024-5553-4E6F-B40A-A9313D286CFC}" name="個人／構成比" dataDxfId="415"/>
    <tableColumn id="14" xr3:uid="{95B7243B-1B10-4199-AE48-EB83493F4453}" name="法人／事業所数" totalsRowFunction="sum" totalsRowDxfId="414" dataCellStyle="桁区切り" totalsRowCellStyle="桁区切り"/>
    <tableColumn id="15" xr3:uid="{3D3650B5-5772-4C42-A513-60A0B5DE5914}" name="法人／構成比" dataDxfId="413"/>
    <tableColumn id="16" xr3:uid="{7A145704-5B47-4F07-9859-0BDE873F7307}" name="法人以外の団体／事業所数" totalsRowFunction="sum" totalsRowDxfId="412" dataCellStyle="桁区切り" totalsRowCellStyle="桁区切り"/>
  </tableColumns>
  <tableStyleInfo name="TableStyleMedium9" showFirstColumn="0" showLastColumn="0" showRowStripes="1" showColumnStripes="0"/>
</table>
</file>

<file path=xl/tables/table1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7" xr:uid="{29916B33-73B1-4A86-8ED7-07378D214809}" name="M_TABLE_27213" displayName="M_TABLE_27213" ref="B23:I44" totalsRowShown="0">
  <autoFilter ref="B23:I44" xr:uid="{29916B33-73B1-4A86-8ED7-07378D214809}"/>
  <tableColumns count="8">
    <tableColumn id="9" xr3:uid="{697E5BD2-73EC-4E1C-9298-22051F99DAA3}" name="産業中分類上位２０"/>
    <tableColumn id="10" xr3:uid="{D284C868-3B4C-46D7-9A63-61433C3535B9}" name="総数／事業所数" dataCellStyle="桁区切り"/>
    <tableColumn id="11" xr3:uid="{DCB4FFAE-0E59-4B81-AC2B-034101266268}" name="総数／構成比" dataDxfId="411"/>
    <tableColumn id="12" xr3:uid="{7995F59A-96A8-4104-9EA4-ECF2E0752CC5}" name="個人／事業所数" dataCellStyle="桁区切り"/>
    <tableColumn id="13" xr3:uid="{6BE26169-411C-4FE3-BBBA-DD6F4A3365BD}" name="個人／構成比" dataDxfId="410"/>
    <tableColumn id="14" xr3:uid="{B6313BDA-0AA6-4359-9DF3-019960563FBE}" name="法人／事業所数" dataCellStyle="桁区切り"/>
    <tableColumn id="15" xr3:uid="{F14DF1F1-620E-481C-9421-F7AB869F5B75}" name="法人／構成比" dataDxfId="409"/>
    <tableColumn id="16" xr3:uid="{E598C160-5CD8-4DA7-A395-03674323C6E7}" name="法人以外の団体／事業所数" dataCellStyle="桁区切り"/>
  </tableColumns>
  <tableStyleInfo name="TableStyleMedium9" showFirstColumn="0" showLastColumn="0" showRowStripes="1" showColumnStripes="0"/>
</table>
</file>

<file path=xl/tables/table1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8" xr:uid="{956F042F-554E-4024-8EE9-B0214AF482D7}" name="S_TABLE_27213" displayName="S_TABLE_27213" ref="B47:I68" totalsRowShown="0">
  <autoFilter ref="B47:I68" xr:uid="{956F042F-554E-4024-8EE9-B0214AF482D7}"/>
  <tableColumns count="8">
    <tableColumn id="9" xr3:uid="{D9AE0AB9-84BE-48E3-85A7-276CD3B5F7FB}" name="産業小分類上位２０"/>
    <tableColumn id="10" xr3:uid="{14D9849C-D9A0-41B6-9CE4-B25FF24D0120}" name="総数／事業所数" dataCellStyle="桁区切り"/>
    <tableColumn id="11" xr3:uid="{273AD641-9DE4-4400-8972-F7CC7D5B0571}" name="総数／構成比" dataDxfId="408"/>
    <tableColumn id="12" xr3:uid="{1089CCDD-6830-4BAB-97DE-2EA233C56F82}" name="個人／事業所数" dataCellStyle="桁区切り"/>
    <tableColumn id="13" xr3:uid="{AF22CFDA-D668-445E-A223-D4640ACA253F}" name="個人／構成比" dataDxfId="407"/>
    <tableColumn id="14" xr3:uid="{AAA55D1F-7FB0-4247-AC76-700A3A9CFAB3}" name="法人／事業所数" dataCellStyle="桁区切り"/>
    <tableColumn id="15" xr3:uid="{777AE508-69BC-4F77-B9A6-269FB64B90AC}" name="法人／構成比" dataDxfId="406"/>
    <tableColumn id="16" xr3:uid="{5EC682E7-D08A-4DCA-8348-4C50C66E0853}" name="法人以外の団体／事業所数" dataCellStyle="桁区切り"/>
  </tableColumns>
  <tableStyleInfo name="TableStyleMedium9" showFirstColumn="0" showLastColumn="0" showRowStripes="1" showColumnStripes="0"/>
</table>
</file>

<file path=xl/tables/table1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9" xr:uid="{7416165D-EC89-40AE-94BE-D09F47C81F54}" name="LTBL_27214" displayName="LTBL_27214" ref="B4:I20" totalsRowCount="1">
  <autoFilter ref="B4:I19" xr:uid="{7416165D-EC89-40AE-94BE-D09F47C81F54}"/>
  <tableColumns count="8">
    <tableColumn id="9" xr3:uid="{42B1D9EB-6675-41A1-8CFE-F8FA20758CAC}" name="産業大分類" totalsRowLabel="合計" totalsRowDxfId="405"/>
    <tableColumn id="10" xr3:uid="{A1B59AC6-B031-4FDC-B560-E4DB8B3A7D4E}" name="総数／事業所数" totalsRowFunction="custom" totalsRowDxfId="404" dataCellStyle="桁区切り" totalsRowCellStyle="桁区切り">
      <totalsRowFormula>SUM(LTBL_27214[総数／事業所数])</totalsRowFormula>
    </tableColumn>
    <tableColumn id="11" xr3:uid="{4D933829-A715-4F16-B61F-F22BFC7A3AE0}" name="総数／構成比" dataDxfId="403"/>
    <tableColumn id="12" xr3:uid="{925B88F6-4261-4CEB-A6CC-7B0AA3ACF741}" name="個人／事業所数" totalsRowFunction="sum" totalsRowDxfId="402" dataCellStyle="桁区切り" totalsRowCellStyle="桁区切り"/>
    <tableColumn id="13" xr3:uid="{3825E5CA-9649-4D18-9202-E0C0BF5B4AE6}" name="個人／構成比" dataDxfId="401"/>
    <tableColumn id="14" xr3:uid="{0B71A573-AA22-452D-BDEB-7A744FC86AEB}" name="法人／事業所数" totalsRowFunction="sum" totalsRowDxfId="400" dataCellStyle="桁区切り" totalsRowCellStyle="桁区切り"/>
    <tableColumn id="15" xr3:uid="{3D44ADC9-0DF5-4338-B234-69B1DB2BE4AA}" name="法人／構成比" dataDxfId="399"/>
    <tableColumn id="16" xr3:uid="{802C86A1-8A9B-406D-9527-C00F03C355B3}" name="法人以外の団体／事業所数" totalsRowFunction="sum" totalsRowDxfId="398" dataCellStyle="桁区切り" totalsRow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9BEBB414-7EC8-46BC-A8CB-09B082A40832}" name="M_TABLE_27104" displayName="M_TABLE_27104" ref="B23:I45" totalsRowShown="0">
  <autoFilter ref="B23:I45" xr:uid="{9BEBB414-7EC8-46BC-A8CB-09B082A40832}"/>
  <tableColumns count="8">
    <tableColumn id="9" xr3:uid="{85F8CFD9-3F46-497F-8084-EC1D12BEDAE7}" name="産業中分類上位２０"/>
    <tableColumn id="10" xr3:uid="{A8411107-FFAC-4555-BD79-1ACE057A7705}" name="総数／事業所数" dataCellStyle="桁区切り"/>
    <tableColumn id="11" xr3:uid="{2CE05C34-17F0-4941-9B6F-82557013D5B2}" name="総数／構成比" dataDxfId="985"/>
    <tableColumn id="12" xr3:uid="{C39080B6-F6F9-468B-8168-816C3F5A6072}" name="個人／事業所数" dataCellStyle="桁区切り"/>
    <tableColumn id="13" xr3:uid="{D0EA0577-C5F0-4760-A7D8-5E20BC3DE6A1}" name="個人／構成比" dataDxfId="984"/>
    <tableColumn id="14" xr3:uid="{0011764F-9BDC-4C2E-9D40-9B736B85F101}" name="法人／事業所数" dataCellStyle="桁区切り"/>
    <tableColumn id="15" xr3:uid="{FEE4C2AA-7629-4152-A8EE-EB1D6EDD66E4}" name="法人／構成比" dataDxfId="983"/>
    <tableColumn id="16" xr3:uid="{9FDE97C0-7A6A-477A-ADE5-216A3A42FB04}" name="法人以外の団体／事業所数" dataCellStyle="桁区切り"/>
  </tableColumns>
  <tableStyleInfo name="TableStyleMedium9" showFirstColumn="0" showLastColumn="0" showRowStripes="1" showColumnStripes="0"/>
</table>
</file>

<file path=xl/tables/table1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0" xr:uid="{676E19CB-7255-4348-9BD9-9D38E9FDC871}" name="M_TABLE_27214" displayName="M_TABLE_27214" ref="B23:I43" totalsRowShown="0">
  <autoFilter ref="B23:I43" xr:uid="{676E19CB-7255-4348-9BD9-9D38E9FDC871}"/>
  <tableColumns count="8">
    <tableColumn id="9" xr3:uid="{DAA3774B-844C-4988-9540-73D8D3698305}" name="産業中分類上位２０"/>
    <tableColumn id="10" xr3:uid="{C4A120D6-C809-42A1-AD0E-7EA452A7BB17}" name="総数／事業所数" dataCellStyle="桁区切り"/>
    <tableColumn id="11" xr3:uid="{FFD6D5D1-F963-4D92-84B8-02C3CE616305}" name="総数／構成比" dataDxfId="397"/>
    <tableColumn id="12" xr3:uid="{FEE631B1-F318-4189-8AC7-1C4ED407E479}" name="個人／事業所数" dataCellStyle="桁区切り"/>
    <tableColumn id="13" xr3:uid="{B747ECEF-0C82-4F68-ACF5-7E8899D83C1E}" name="個人／構成比" dataDxfId="396"/>
    <tableColumn id="14" xr3:uid="{026480F6-9359-4BFC-918E-3DABFB4C4A63}" name="法人／事業所数" dataCellStyle="桁区切り"/>
    <tableColumn id="15" xr3:uid="{F6FF4AF8-CFB8-4255-9D1A-450BEA8008E1}" name="法人／構成比" dataDxfId="395"/>
    <tableColumn id="16" xr3:uid="{FBEA75E8-5ECA-4AAC-8566-9FEF56EA3C3B}" name="法人以外の団体／事業所数" dataCellStyle="桁区切り"/>
  </tableColumns>
  <tableStyleInfo name="TableStyleMedium9" showFirstColumn="0" showLastColumn="0" showRowStripes="1" showColumnStripes="0"/>
</table>
</file>

<file path=xl/tables/table1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1" xr:uid="{12074447-E05C-4A97-9EA1-0638F9D0F525}" name="S_TABLE_27214" displayName="S_TABLE_27214" ref="B46:I66" totalsRowShown="0">
  <autoFilter ref="B46:I66" xr:uid="{12074447-E05C-4A97-9EA1-0638F9D0F525}"/>
  <tableColumns count="8">
    <tableColumn id="9" xr3:uid="{005F490B-7666-4DC0-BC59-54F51E947CF5}" name="産業小分類上位２０"/>
    <tableColumn id="10" xr3:uid="{6EB42A38-6DD4-41AB-9818-AEBBF02CEEF2}" name="総数／事業所数" dataCellStyle="桁区切り"/>
    <tableColumn id="11" xr3:uid="{C2FBF0BF-97C8-4156-BB3F-DDAEB4ABC4EC}" name="総数／構成比" dataDxfId="394"/>
    <tableColumn id="12" xr3:uid="{705214F7-4C59-4EE9-A562-6DCFCC316704}" name="個人／事業所数" dataCellStyle="桁区切り"/>
    <tableColumn id="13" xr3:uid="{ED1AD0B9-5380-48C7-BB2D-8A1A0187468D}" name="個人／構成比" dataDxfId="393"/>
    <tableColumn id="14" xr3:uid="{3DA65389-6022-498E-830E-E40ED535E9DA}" name="法人／事業所数" dataCellStyle="桁区切り"/>
    <tableColumn id="15" xr3:uid="{09357DE4-54F9-41C6-BA3D-0018C73E45B4}" name="法人／構成比" dataDxfId="392"/>
    <tableColumn id="16" xr3:uid="{6FD8E368-37D3-4ABB-9F2A-81C74B3565BE}" name="法人以外の団体／事業所数" dataCellStyle="桁区切り"/>
  </tableColumns>
  <tableStyleInfo name="TableStyleMedium9" showFirstColumn="0" showLastColumn="0" showRowStripes="1" showColumnStripes="0"/>
</table>
</file>

<file path=xl/tables/table1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2" xr:uid="{8D30C1F7-2EDC-4670-A925-0BC00E435C0B}" name="LTBL_27215" displayName="LTBL_27215" ref="B4:I20" totalsRowCount="1">
  <autoFilter ref="B4:I19" xr:uid="{8D30C1F7-2EDC-4670-A925-0BC00E435C0B}"/>
  <tableColumns count="8">
    <tableColumn id="9" xr3:uid="{1A5D0243-6699-4AFD-9F80-7FB46DF8F237}" name="産業大分類" totalsRowLabel="合計" totalsRowDxfId="391"/>
    <tableColumn id="10" xr3:uid="{D9A50745-6D5A-4A83-A821-A9EE9D76C4CF}" name="総数／事業所数" totalsRowFunction="custom" totalsRowDxfId="390" dataCellStyle="桁区切り" totalsRowCellStyle="桁区切り">
      <totalsRowFormula>SUM(LTBL_27215[総数／事業所数])</totalsRowFormula>
    </tableColumn>
    <tableColumn id="11" xr3:uid="{EF23F190-7BFE-424E-AD79-8795A9415CAC}" name="総数／構成比" dataDxfId="389"/>
    <tableColumn id="12" xr3:uid="{9A97E023-F779-4D20-9435-068579E4E0CF}" name="個人／事業所数" totalsRowFunction="sum" totalsRowDxfId="388" dataCellStyle="桁区切り" totalsRowCellStyle="桁区切り"/>
    <tableColumn id="13" xr3:uid="{C9349187-9F38-4864-AAC6-E9B8070F3110}" name="個人／構成比" dataDxfId="387"/>
    <tableColumn id="14" xr3:uid="{B74C3B1E-AE29-4728-997C-AF88BD053EAD}" name="法人／事業所数" totalsRowFunction="sum" totalsRowDxfId="386" dataCellStyle="桁区切り" totalsRowCellStyle="桁区切り"/>
    <tableColumn id="15" xr3:uid="{F929A3C0-5CBA-44E4-A5DB-5E9233DF664C}" name="法人／構成比" dataDxfId="385"/>
    <tableColumn id="16" xr3:uid="{3025B53B-8714-42A9-A3FB-5B26D1596E9A}" name="法人以外の団体／事業所数" totalsRowFunction="sum" totalsRowDxfId="384" dataCellStyle="桁区切り" totalsRowCellStyle="桁区切り"/>
  </tableColumns>
  <tableStyleInfo name="TableStyleMedium9" showFirstColumn="0" showLastColumn="0" showRowStripes="1" showColumnStripes="0"/>
</table>
</file>

<file path=xl/tables/table1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3" xr:uid="{FB233B9B-1974-458A-8345-88DE3FC28F78}" name="M_TABLE_27215" displayName="M_TABLE_27215" ref="B23:I43" totalsRowShown="0">
  <autoFilter ref="B23:I43" xr:uid="{FB233B9B-1974-458A-8345-88DE3FC28F78}"/>
  <tableColumns count="8">
    <tableColumn id="9" xr3:uid="{0F9A6843-FBF2-471C-B13F-2AD362DBBB64}" name="産業中分類上位２０"/>
    <tableColumn id="10" xr3:uid="{1AED5381-9ABD-44EB-BDB9-AB0B8A02AEE1}" name="総数／事業所数" dataCellStyle="桁区切り"/>
    <tableColumn id="11" xr3:uid="{672FA413-B7F8-4C14-A231-A9B9301B14D6}" name="総数／構成比" dataDxfId="383"/>
    <tableColumn id="12" xr3:uid="{A407C07C-3079-4B6C-AFC5-83C1F646FE91}" name="個人／事業所数" dataCellStyle="桁区切り"/>
    <tableColumn id="13" xr3:uid="{A5BA7B47-25E4-4FDE-9D44-B86B8EB40F66}" name="個人／構成比" dataDxfId="382"/>
    <tableColumn id="14" xr3:uid="{D03A2355-D3B7-4E27-B70F-FF2577343A9A}" name="法人／事業所数" dataCellStyle="桁区切り"/>
    <tableColumn id="15" xr3:uid="{CC3CB830-281A-4AAF-A3B7-17FFC942AE24}" name="法人／構成比" dataDxfId="381"/>
    <tableColumn id="16" xr3:uid="{9178D5F9-6BA1-46B8-98A9-3D47FF77E6B3}" name="法人以外の団体／事業所数" dataCellStyle="桁区切り"/>
  </tableColumns>
  <tableStyleInfo name="TableStyleMedium9" showFirstColumn="0" showLastColumn="0" showRowStripes="1" showColumnStripes="0"/>
</table>
</file>

<file path=xl/tables/table1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4" xr:uid="{07BAF667-60F5-4FBC-BE1C-93CD93867A93}" name="S_TABLE_27215" displayName="S_TABLE_27215" ref="B46:I66" totalsRowShown="0">
  <autoFilter ref="B46:I66" xr:uid="{07BAF667-60F5-4FBC-BE1C-93CD93867A93}"/>
  <tableColumns count="8">
    <tableColumn id="9" xr3:uid="{6DDCA9A1-E8F1-4608-A65D-505F27CBEBAE}" name="産業小分類上位２０"/>
    <tableColumn id="10" xr3:uid="{AFE1F958-74B8-44E6-8E07-268BDD4D01D8}" name="総数／事業所数" dataCellStyle="桁区切り"/>
    <tableColumn id="11" xr3:uid="{A4B33DF0-D1AD-4645-B0E9-86ADC1E69DA6}" name="総数／構成比" dataDxfId="380"/>
    <tableColumn id="12" xr3:uid="{0E2F20CA-1B59-4361-9CA2-AFCF9B8CB889}" name="個人／事業所数" dataCellStyle="桁区切り"/>
    <tableColumn id="13" xr3:uid="{A66E1805-50FE-46D3-B4FA-DE3A02E0ECA2}" name="個人／構成比" dataDxfId="379"/>
    <tableColumn id="14" xr3:uid="{6AD24403-378B-4605-AB11-89F5E74ACD69}" name="法人／事業所数" dataCellStyle="桁区切り"/>
    <tableColumn id="15" xr3:uid="{06C6ACCB-8EDC-429A-A9D6-25D532C7334F}" name="法人／構成比" dataDxfId="378"/>
    <tableColumn id="16" xr3:uid="{2216A056-5C02-4A9F-9B9B-85DB40AE3852}" name="法人以外の団体／事業所数" dataCellStyle="桁区切り"/>
  </tableColumns>
  <tableStyleInfo name="TableStyleMedium9" showFirstColumn="0" showLastColumn="0" showRowStripes="1" showColumnStripes="0"/>
</table>
</file>

<file path=xl/tables/table1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5" xr:uid="{E6C34BB8-EB7F-4A71-8C19-D9F9B6742C25}" name="LTBL_27216" displayName="LTBL_27216" ref="B4:I20" totalsRowCount="1">
  <autoFilter ref="B4:I19" xr:uid="{E6C34BB8-EB7F-4A71-8C19-D9F9B6742C25}"/>
  <tableColumns count="8">
    <tableColumn id="9" xr3:uid="{27A7B7C1-CC99-4DDF-887D-878B527C49E0}" name="産業大分類" totalsRowLabel="合計" totalsRowDxfId="377"/>
    <tableColumn id="10" xr3:uid="{9D3C098A-800B-4C6D-9980-2E70678C6DFA}" name="総数／事業所数" totalsRowFunction="custom" totalsRowDxfId="376" dataCellStyle="桁区切り" totalsRowCellStyle="桁区切り">
      <totalsRowFormula>SUM(LTBL_27216[総数／事業所数])</totalsRowFormula>
    </tableColumn>
    <tableColumn id="11" xr3:uid="{8B827301-336D-4BFC-B319-7D0567644092}" name="総数／構成比" dataDxfId="375"/>
    <tableColumn id="12" xr3:uid="{31E58567-30C2-446D-BA7F-3B6856BC29B2}" name="個人／事業所数" totalsRowFunction="sum" totalsRowDxfId="374" dataCellStyle="桁区切り" totalsRowCellStyle="桁区切り"/>
    <tableColumn id="13" xr3:uid="{966CB3F8-ECB8-4B4E-8156-DDC02114C06A}" name="個人／構成比" dataDxfId="373"/>
    <tableColumn id="14" xr3:uid="{907189A4-51A1-4462-A3B9-610C2A498B46}" name="法人／事業所数" totalsRowFunction="sum" totalsRowDxfId="372" dataCellStyle="桁区切り" totalsRowCellStyle="桁区切り"/>
    <tableColumn id="15" xr3:uid="{4D76BCA4-149C-4244-927D-8100C5A16C10}" name="法人／構成比" dataDxfId="371"/>
    <tableColumn id="16" xr3:uid="{30F80EAE-4FA9-4A36-9FA0-4D5F7E7562B0}" name="法人以外の団体／事業所数" totalsRowFunction="sum" totalsRowDxfId="370" dataCellStyle="桁区切り" totalsRowCellStyle="桁区切り"/>
  </tableColumns>
  <tableStyleInfo name="TableStyleMedium9" showFirstColumn="0" showLastColumn="0" showRowStripes="1" showColumnStripes="0"/>
</table>
</file>

<file path=xl/tables/table1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6" xr:uid="{D450640C-200F-486D-B235-29215E11B4BF}" name="M_TABLE_27216" displayName="M_TABLE_27216" ref="B23:I45" totalsRowShown="0">
  <autoFilter ref="B23:I45" xr:uid="{D450640C-200F-486D-B235-29215E11B4BF}"/>
  <tableColumns count="8">
    <tableColumn id="9" xr3:uid="{D5C06CE8-C85A-4589-922A-5B1647AAED28}" name="産業中分類上位２０"/>
    <tableColumn id="10" xr3:uid="{EA57FE6D-C89C-44D2-9763-B7DD42526E0E}" name="総数／事業所数" dataCellStyle="桁区切り"/>
    <tableColumn id="11" xr3:uid="{07BC56F5-C5C0-4B18-ADC5-C9034780EE69}" name="総数／構成比" dataDxfId="369"/>
    <tableColumn id="12" xr3:uid="{8D3F5FC9-3E74-401B-85C4-8DB25ECE21F3}" name="個人／事業所数" dataCellStyle="桁区切り"/>
    <tableColumn id="13" xr3:uid="{A7834844-39E1-4D88-B177-CE64F7C5D469}" name="個人／構成比" dataDxfId="368"/>
    <tableColumn id="14" xr3:uid="{BDC26669-5BED-4DAD-969A-3556EC915A03}" name="法人／事業所数" dataCellStyle="桁区切り"/>
    <tableColumn id="15" xr3:uid="{1D287664-7460-4825-AACE-DE0D7A1BF4E0}" name="法人／構成比" dataDxfId="367"/>
    <tableColumn id="16" xr3:uid="{33640C26-BCCA-4E95-BC41-767A1CE12C34}" name="法人以外の団体／事業所数" dataCellStyle="桁区切り"/>
  </tableColumns>
  <tableStyleInfo name="TableStyleMedium9" showFirstColumn="0" showLastColumn="0" showRowStripes="1" showColumnStripes="0"/>
</table>
</file>

<file path=xl/tables/table1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7" xr:uid="{4F8AB5DF-2102-4E8C-938A-1EE57FBD31B3}" name="S_TABLE_27216" displayName="S_TABLE_27216" ref="B48:I68" totalsRowShown="0">
  <autoFilter ref="B48:I68" xr:uid="{4F8AB5DF-2102-4E8C-938A-1EE57FBD31B3}"/>
  <tableColumns count="8">
    <tableColumn id="9" xr3:uid="{38A2A3BF-3C2C-4476-86C1-F5CAE4AF881E}" name="産業小分類上位２０"/>
    <tableColumn id="10" xr3:uid="{71505AFC-9568-46BE-88B8-00ED01CE60C0}" name="総数／事業所数" dataCellStyle="桁区切り"/>
    <tableColumn id="11" xr3:uid="{DF46615D-AAB7-4484-857E-6B1A5B02C7F2}" name="総数／構成比" dataDxfId="366"/>
    <tableColumn id="12" xr3:uid="{420794AA-799A-4302-B020-C7E2A01209DC}" name="個人／事業所数" dataCellStyle="桁区切り"/>
    <tableColumn id="13" xr3:uid="{FB3D83D7-5532-4EDF-8CD7-9605C8BF45F0}" name="個人／構成比" dataDxfId="365"/>
    <tableColumn id="14" xr3:uid="{16957559-70F9-42F8-A8B4-E4BEC53CA583}" name="法人／事業所数" dataCellStyle="桁区切り"/>
    <tableColumn id="15" xr3:uid="{0D6B1B12-E2B9-435C-9865-B5A7EC808123}" name="法人／構成比" dataDxfId="364"/>
    <tableColumn id="16" xr3:uid="{DC45AC91-399F-40E2-B246-C9CC145D57EF}" name="法人以外の団体／事業所数" dataCellStyle="桁区切り"/>
  </tableColumns>
  <tableStyleInfo name="TableStyleMedium9" showFirstColumn="0" showLastColumn="0" showRowStripes="1" showColumnStripes="0"/>
</table>
</file>

<file path=xl/tables/table1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8" xr:uid="{5FC69766-AA90-402E-9915-0DB5127426A5}" name="LTBL_27217" displayName="LTBL_27217" ref="B4:I20" totalsRowCount="1">
  <autoFilter ref="B4:I19" xr:uid="{5FC69766-AA90-402E-9915-0DB5127426A5}"/>
  <tableColumns count="8">
    <tableColumn id="9" xr3:uid="{14AF95F2-1F2C-48AB-A2B3-8C2A22ACD490}" name="産業大分類" totalsRowLabel="合計" totalsRowDxfId="363"/>
    <tableColumn id="10" xr3:uid="{D73C89B7-0B09-4D6E-8129-36BB84E9CCE1}" name="総数／事業所数" totalsRowFunction="custom" totalsRowDxfId="362" dataCellStyle="桁区切り" totalsRowCellStyle="桁区切り">
      <totalsRowFormula>SUM(LTBL_27217[総数／事業所数])</totalsRowFormula>
    </tableColumn>
    <tableColumn id="11" xr3:uid="{CEC9015A-B917-47A2-AAEF-4C51BFC811F6}" name="総数／構成比" dataDxfId="361"/>
    <tableColumn id="12" xr3:uid="{CDE0373A-2C29-421B-8358-2C7402262DA4}" name="個人／事業所数" totalsRowFunction="sum" totalsRowDxfId="360" dataCellStyle="桁区切り" totalsRowCellStyle="桁区切り"/>
    <tableColumn id="13" xr3:uid="{F7D4D950-9689-45B1-8A20-FDE606332D3E}" name="個人／構成比" dataDxfId="359"/>
    <tableColumn id="14" xr3:uid="{AECF66B6-4882-40EC-9A8A-357D15A6F4DC}" name="法人／事業所数" totalsRowFunction="sum" totalsRowDxfId="358" dataCellStyle="桁区切り" totalsRowCellStyle="桁区切り"/>
    <tableColumn id="15" xr3:uid="{29FB6CEB-4E09-4100-B51D-C66677DAF24D}" name="法人／構成比" dataDxfId="357"/>
    <tableColumn id="16" xr3:uid="{07D3DDA6-7F4D-4C90-8185-5E598A2D1C71}" name="法人以外の団体／事業所数" totalsRowFunction="sum" totalsRowDxfId="356" dataCellStyle="桁区切り" totalsRowCellStyle="桁区切り"/>
  </tableColumns>
  <tableStyleInfo name="TableStyleMedium9" showFirstColumn="0" showLastColumn="0" showRowStripes="1" showColumnStripes="0"/>
</table>
</file>

<file path=xl/tables/table1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9" xr:uid="{30BDB948-6E7A-42B0-B7F8-B7535D6734E7}" name="M_TABLE_27217" displayName="M_TABLE_27217" ref="B23:I43" totalsRowShown="0">
  <autoFilter ref="B23:I43" xr:uid="{30BDB948-6E7A-42B0-B7F8-B7535D6734E7}"/>
  <tableColumns count="8">
    <tableColumn id="9" xr3:uid="{8C046C76-6B1C-4705-BB3E-9F70221AFD19}" name="産業中分類上位２０"/>
    <tableColumn id="10" xr3:uid="{AEA86AC8-FE5D-4F61-9769-5DD11C307A88}" name="総数／事業所数" dataCellStyle="桁区切り"/>
    <tableColumn id="11" xr3:uid="{42D3E1D0-F463-4338-8D0A-CD6EC371D987}" name="総数／構成比" dataDxfId="355"/>
    <tableColumn id="12" xr3:uid="{AE87BE27-9A5C-4AB0-8BAA-C4D77DD63B9B}" name="個人／事業所数" dataCellStyle="桁区切り"/>
    <tableColumn id="13" xr3:uid="{85B45C11-E447-4F04-8EC4-83E780ED6B4F}" name="個人／構成比" dataDxfId="354"/>
    <tableColumn id="14" xr3:uid="{0C5B4BD4-2299-4A6F-AF6C-374742BF3213}" name="法人／事業所数" dataCellStyle="桁区切り"/>
    <tableColumn id="15" xr3:uid="{9FCEA32D-6B01-4B97-8797-5D040702F22A}" name="法人／構成比" dataDxfId="353"/>
    <tableColumn id="16" xr3:uid="{334F4A7E-F08F-487E-B6F8-42870134BCAF}" name="法人以外の団体／事業所数" dataCellStyle="桁区切り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9F29045-5388-4F3F-A83F-513485807A9C}" name="S_TABLE_27104" displayName="S_TABLE_27104" ref="B48:I68" totalsRowShown="0">
  <autoFilter ref="B48:I68" xr:uid="{69F29045-5388-4F3F-A83F-513485807A9C}"/>
  <tableColumns count="8">
    <tableColumn id="9" xr3:uid="{23225FE4-C04D-447C-B243-3FB9273435F6}" name="産業小分類上位２０"/>
    <tableColumn id="10" xr3:uid="{BBA3C4EE-FA68-4BBF-B0A7-2A31FDA4A2C2}" name="総数／事業所数" dataCellStyle="桁区切り"/>
    <tableColumn id="11" xr3:uid="{A6CD95EF-6D6A-4D9C-BD53-FA046C26548D}" name="総数／構成比" dataDxfId="982"/>
    <tableColumn id="12" xr3:uid="{22A3BFBD-8D5C-4313-B124-A4D41E0A4035}" name="個人／事業所数" dataCellStyle="桁区切り"/>
    <tableColumn id="13" xr3:uid="{44BE54A1-9826-4EAC-9982-58B1374461EA}" name="個人／構成比" dataDxfId="981"/>
    <tableColumn id="14" xr3:uid="{F4AD7F0F-ABB7-4C67-94F8-F55F2850C0B0}" name="法人／事業所数" dataCellStyle="桁区切り"/>
    <tableColumn id="15" xr3:uid="{9E581FF5-E1FC-4DEB-B77F-D5E390AD8EED}" name="法人／構成比" dataDxfId="980"/>
    <tableColumn id="16" xr3:uid="{332F333D-BA3D-4BD4-A315-DADE7B583064}" name="法人以外の団体／事業所数" dataCellStyle="桁区切り"/>
  </tableColumns>
  <tableStyleInfo name="TableStyleMedium9" showFirstColumn="0" showLastColumn="0" showRowStripes="1" showColumnStripes="0"/>
</table>
</file>

<file path=xl/tables/table1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0" xr:uid="{4F349BBD-3CFD-4CCC-8A3A-43EAFA0548B4}" name="S_TABLE_27217" displayName="S_TABLE_27217" ref="B46:I66" totalsRowShown="0">
  <autoFilter ref="B46:I66" xr:uid="{4F349BBD-3CFD-4CCC-8A3A-43EAFA0548B4}"/>
  <tableColumns count="8">
    <tableColumn id="9" xr3:uid="{95FCF909-4CB1-4FE5-83D8-A7C945F50F5C}" name="産業小分類上位２０"/>
    <tableColumn id="10" xr3:uid="{D5CC4C4B-D617-4922-B430-DEB67EFD30A5}" name="総数／事業所数" dataCellStyle="桁区切り"/>
    <tableColumn id="11" xr3:uid="{DF7C0BE5-14CE-49A9-8061-C2F0EBC3873B}" name="総数／構成比" dataDxfId="352"/>
    <tableColumn id="12" xr3:uid="{EDCDC446-A497-40B3-B647-D37728013214}" name="個人／事業所数" dataCellStyle="桁区切り"/>
    <tableColumn id="13" xr3:uid="{D262B6F8-AEA9-4192-8FB7-114DB301AF18}" name="個人／構成比" dataDxfId="351"/>
    <tableColumn id="14" xr3:uid="{6016C2EF-E729-43B3-A6AA-FEB3A20A2D44}" name="法人／事業所数" dataCellStyle="桁区切り"/>
    <tableColumn id="15" xr3:uid="{AD579FA3-C8BB-4DB6-80BB-9AF4FF00F338}" name="法人／構成比" dataDxfId="350"/>
    <tableColumn id="16" xr3:uid="{E902FC23-31A2-4DEF-95F3-9CEEC66FEB41}" name="法人以外の団体／事業所数" dataCellStyle="桁区切り"/>
  </tableColumns>
  <tableStyleInfo name="TableStyleMedium9" showFirstColumn="0" showLastColumn="0" showRowStripes="1" showColumnStripes="0"/>
</table>
</file>

<file path=xl/tables/table1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1" xr:uid="{0DEA9B51-D16A-4FB7-95D8-9E722EEB997F}" name="LTBL_27218" displayName="LTBL_27218" ref="B4:I20" totalsRowCount="1">
  <autoFilter ref="B4:I19" xr:uid="{0DEA9B51-D16A-4FB7-95D8-9E722EEB997F}"/>
  <tableColumns count="8">
    <tableColumn id="9" xr3:uid="{75FF9E1C-E418-4435-844D-51E9302FA762}" name="産業大分類" totalsRowLabel="合計" totalsRowDxfId="349"/>
    <tableColumn id="10" xr3:uid="{AB40B016-01DB-4128-9880-DFBC150E2A6C}" name="総数／事業所数" totalsRowFunction="custom" totalsRowDxfId="348" dataCellStyle="桁区切り" totalsRowCellStyle="桁区切り">
      <totalsRowFormula>SUM(LTBL_27218[総数／事業所数])</totalsRowFormula>
    </tableColumn>
    <tableColumn id="11" xr3:uid="{F89EA063-07D9-47DA-9CA9-C52695CDD5F9}" name="総数／構成比" dataDxfId="347"/>
    <tableColumn id="12" xr3:uid="{89DB243D-52C3-46FE-814B-DAF8687C38AE}" name="個人／事業所数" totalsRowFunction="sum" totalsRowDxfId="346" dataCellStyle="桁区切り" totalsRowCellStyle="桁区切り"/>
    <tableColumn id="13" xr3:uid="{B2409FC5-8DD6-40C7-B6B4-924AE3A660E7}" name="個人／構成比" dataDxfId="345"/>
    <tableColumn id="14" xr3:uid="{AE7F37DD-B484-44AA-AE63-20F45053FC35}" name="法人／事業所数" totalsRowFunction="sum" totalsRowDxfId="344" dataCellStyle="桁区切り" totalsRowCellStyle="桁区切り"/>
    <tableColumn id="15" xr3:uid="{84A65738-4057-4C36-9DDD-359730B41A71}" name="法人／構成比" dataDxfId="343"/>
    <tableColumn id="16" xr3:uid="{30205D40-D087-4615-89C0-F0A408F63B94}" name="法人以外の団体／事業所数" totalsRowFunction="sum" totalsRowDxfId="342" dataCellStyle="桁区切り" totalsRowCellStyle="桁区切り"/>
  </tableColumns>
  <tableStyleInfo name="TableStyleMedium9" showFirstColumn="0" showLastColumn="0" showRowStripes="1" showColumnStripes="0"/>
</table>
</file>

<file path=xl/tables/table1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2" xr:uid="{669E57BE-8A94-4953-9904-6F9328D063C3}" name="M_TABLE_27218" displayName="M_TABLE_27218" ref="B23:I43" totalsRowShown="0">
  <autoFilter ref="B23:I43" xr:uid="{669E57BE-8A94-4953-9904-6F9328D063C3}"/>
  <tableColumns count="8">
    <tableColumn id="9" xr3:uid="{8E0237FE-7094-4920-99B6-CAD0813E03AA}" name="産業中分類上位２０"/>
    <tableColumn id="10" xr3:uid="{13242AEC-053F-49AB-89D9-FAB73FCD69C1}" name="総数／事業所数" dataCellStyle="桁区切り"/>
    <tableColumn id="11" xr3:uid="{53630DDC-C0D8-4E61-9E1A-0DF04BA4A4E8}" name="総数／構成比" dataDxfId="341"/>
    <tableColumn id="12" xr3:uid="{CC5F9CF0-94F1-4D30-A0CE-95F052B0EA56}" name="個人／事業所数" dataCellStyle="桁区切り"/>
    <tableColumn id="13" xr3:uid="{3DAD4450-488A-4ACA-85EA-16ADB39893E8}" name="個人／構成比" dataDxfId="340"/>
    <tableColumn id="14" xr3:uid="{3E42DD1E-03F4-492E-B765-D1896DD2038E}" name="法人／事業所数" dataCellStyle="桁区切り"/>
    <tableColumn id="15" xr3:uid="{05F1664E-BAC2-40F5-8049-33CC9A3F140F}" name="法人／構成比" dataDxfId="339"/>
    <tableColumn id="16" xr3:uid="{AAEA47A4-CBBF-4C1C-8A49-8FE0D0C3C1EC}" name="法人以外の団体／事業所数" dataCellStyle="桁区切り"/>
  </tableColumns>
  <tableStyleInfo name="TableStyleMedium9" showFirstColumn="0" showLastColumn="0" showRowStripes="1" showColumnStripes="0"/>
</table>
</file>

<file path=xl/tables/table1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3" xr:uid="{0E9674C9-C107-4EC6-9174-5373EB880E15}" name="S_TABLE_27218" displayName="S_TABLE_27218" ref="B46:I66" totalsRowShown="0">
  <autoFilter ref="B46:I66" xr:uid="{0E9674C9-C107-4EC6-9174-5373EB880E15}"/>
  <tableColumns count="8">
    <tableColumn id="9" xr3:uid="{4347EC3C-B1CC-47B9-9FCB-4F0373B8364F}" name="産業小分類上位２０"/>
    <tableColumn id="10" xr3:uid="{9227D174-F8B4-4F77-AE23-93D83836401E}" name="総数／事業所数" dataCellStyle="桁区切り"/>
    <tableColumn id="11" xr3:uid="{1414D81F-2068-4D1B-8F94-8BBF1BF9A110}" name="総数／構成比" dataDxfId="338"/>
    <tableColumn id="12" xr3:uid="{44CF78B0-77F4-4CC3-8675-7EB7B61C7F26}" name="個人／事業所数" dataCellStyle="桁区切り"/>
    <tableColumn id="13" xr3:uid="{76FFEE36-F404-4E06-94B6-8763E4680D83}" name="個人／構成比" dataDxfId="337"/>
    <tableColumn id="14" xr3:uid="{427EFE41-14D1-4FFE-BBFC-10D10F331448}" name="法人／事業所数" dataCellStyle="桁区切り"/>
    <tableColumn id="15" xr3:uid="{90BE10B8-9B11-45F7-8B82-B481F9EECDE4}" name="法人／構成比" dataDxfId="336"/>
    <tableColumn id="16" xr3:uid="{E04096D9-7AD1-40C7-A1EB-22B799042ACF}" name="法人以外の団体／事業所数" dataCellStyle="桁区切り"/>
  </tableColumns>
  <tableStyleInfo name="TableStyleMedium9" showFirstColumn="0" showLastColumn="0" showRowStripes="1" showColumnStripes="0"/>
</table>
</file>

<file path=xl/tables/table1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4" xr:uid="{992CA81E-4C93-4D21-80AA-61A8388D63F6}" name="LTBL_27219" displayName="LTBL_27219" ref="B4:I20" totalsRowCount="1">
  <autoFilter ref="B4:I19" xr:uid="{992CA81E-4C93-4D21-80AA-61A8388D63F6}"/>
  <tableColumns count="8">
    <tableColumn id="9" xr3:uid="{EAD8863E-6DD5-4C2D-A826-32A176F6F5F2}" name="産業大分類" totalsRowLabel="合計" totalsRowDxfId="335"/>
    <tableColumn id="10" xr3:uid="{C45F6696-D54D-4D2E-A355-118C4491F3B4}" name="総数／事業所数" totalsRowFunction="custom" totalsRowDxfId="334" dataCellStyle="桁区切り" totalsRowCellStyle="桁区切り">
      <totalsRowFormula>SUM(LTBL_27219[総数／事業所数])</totalsRowFormula>
    </tableColumn>
    <tableColumn id="11" xr3:uid="{EECCCAAF-C05E-4DD2-836A-BF332E3E60CC}" name="総数／構成比" dataDxfId="333"/>
    <tableColumn id="12" xr3:uid="{EEF1CC17-4050-40AC-8781-335A9EE2A253}" name="個人／事業所数" totalsRowFunction="sum" totalsRowDxfId="332" dataCellStyle="桁区切り" totalsRowCellStyle="桁区切り"/>
    <tableColumn id="13" xr3:uid="{E3304144-7705-4245-964A-AAE581832EBC}" name="個人／構成比" dataDxfId="331"/>
    <tableColumn id="14" xr3:uid="{EF53EBCF-577F-4476-BEF7-70122C5631B8}" name="法人／事業所数" totalsRowFunction="sum" totalsRowDxfId="330" dataCellStyle="桁区切り" totalsRowCellStyle="桁区切り"/>
    <tableColumn id="15" xr3:uid="{A5934300-A830-4288-BF01-F2658387354A}" name="法人／構成比" dataDxfId="329"/>
    <tableColumn id="16" xr3:uid="{E14F3529-511A-4EF3-B3D6-E7E1C60AAF7B}" name="法人以外の団体／事業所数" totalsRowFunction="sum" totalsRowDxfId="328" dataCellStyle="桁区切り" totalsRowCellStyle="桁区切り"/>
  </tableColumns>
  <tableStyleInfo name="TableStyleMedium9" showFirstColumn="0" showLastColumn="0" showRowStripes="1" showColumnStripes="0"/>
</table>
</file>

<file path=xl/tables/table1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5" xr:uid="{E3795687-3EC6-4FB6-BAF5-9179E652BA1C}" name="M_TABLE_27219" displayName="M_TABLE_27219" ref="B23:I43" totalsRowShown="0">
  <autoFilter ref="B23:I43" xr:uid="{E3795687-3EC6-4FB6-BAF5-9179E652BA1C}"/>
  <tableColumns count="8">
    <tableColumn id="9" xr3:uid="{6E47B66A-55D5-42E2-815B-66CA0E2408C5}" name="産業中分類上位２０"/>
    <tableColumn id="10" xr3:uid="{ED06B761-B2B7-4E0F-A0DD-1BF380FE897C}" name="総数／事業所数" dataCellStyle="桁区切り"/>
    <tableColumn id="11" xr3:uid="{4F5B91B0-A34E-4A1C-BB6F-95901970F344}" name="総数／構成比" dataDxfId="327"/>
    <tableColumn id="12" xr3:uid="{9E2BBFDC-007F-4B8C-A87C-1834FC0799F6}" name="個人／事業所数" dataCellStyle="桁区切り"/>
    <tableColumn id="13" xr3:uid="{AD3F99D5-7547-46DA-ADE2-DC9FCC7BA74D}" name="個人／構成比" dataDxfId="326"/>
    <tableColumn id="14" xr3:uid="{26E9CB3C-EB92-4673-BA03-51CC5B57DD75}" name="法人／事業所数" dataCellStyle="桁区切り"/>
    <tableColumn id="15" xr3:uid="{37861060-AC5F-469B-864F-7E6B13B0C53F}" name="法人／構成比" dataDxfId="325"/>
    <tableColumn id="16" xr3:uid="{D8B9E011-5D40-4347-A9BB-E2960A1C70BB}" name="法人以外の団体／事業所数" dataCellStyle="桁区切り"/>
  </tableColumns>
  <tableStyleInfo name="TableStyleMedium9" showFirstColumn="0" showLastColumn="0" showRowStripes="1" showColumnStripes="0"/>
</table>
</file>

<file path=xl/tables/table1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6" xr:uid="{95F92C29-EE41-4D22-ACFB-CFC2A62995B7}" name="S_TABLE_27219" displayName="S_TABLE_27219" ref="B46:I66" totalsRowShown="0">
  <autoFilter ref="B46:I66" xr:uid="{95F92C29-EE41-4D22-ACFB-CFC2A62995B7}"/>
  <tableColumns count="8">
    <tableColumn id="9" xr3:uid="{DCAF985D-E418-4EFD-ACC6-52FA864E3C63}" name="産業小分類上位２０"/>
    <tableColumn id="10" xr3:uid="{09432B2D-7A74-4B86-BD4B-F0C5E6810CE6}" name="総数／事業所数" dataCellStyle="桁区切り"/>
    <tableColumn id="11" xr3:uid="{D74C47C9-A9DD-43DF-BD83-95721F467E20}" name="総数／構成比" dataDxfId="324"/>
    <tableColumn id="12" xr3:uid="{BEC47450-A2C3-43EA-8A37-418E603D7883}" name="個人／事業所数" dataCellStyle="桁区切り"/>
    <tableColumn id="13" xr3:uid="{4B8A328F-126F-4D38-B476-BC53FACCDD06}" name="個人／構成比" dataDxfId="323"/>
    <tableColumn id="14" xr3:uid="{DAC27D60-2E44-4253-9A2D-3BF1714C607F}" name="法人／事業所数" dataCellStyle="桁区切り"/>
    <tableColumn id="15" xr3:uid="{7348BDB7-63D1-4977-A042-6A4596BC6769}" name="法人／構成比" dataDxfId="322"/>
    <tableColumn id="16" xr3:uid="{6BB345F9-8365-4599-8C70-EF480B51ADCE}" name="法人以外の団体／事業所数" dataCellStyle="桁区切り"/>
  </tableColumns>
  <tableStyleInfo name="TableStyleMedium9" showFirstColumn="0" showLastColumn="0" showRowStripes="1" showColumnStripes="0"/>
</table>
</file>

<file path=xl/tables/table1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7" xr:uid="{923998D8-3A5F-4549-83AA-739982DDD8C5}" name="LTBL_27220" displayName="LTBL_27220" ref="B4:I20" totalsRowCount="1">
  <autoFilter ref="B4:I19" xr:uid="{923998D8-3A5F-4549-83AA-739982DDD8C5}"/>
  <tableColumns count="8">
    <tableColumn id="9" xr3:uid="{D9A0EB53-C797-4F54-A5B7-DA98FEE821A8}" name="産業大分類" totalsRowLabel="合計" totalsRowDxfId="321"/>
    <tableColumn id="10" xr3:uid="{92348B18-8B8D-45D1-BC7B-F6B3F17A462E}" name="総数／事業所数" totalsRowFunction="custom" totalsRowDxfId="320" dataCellStyle="桁区切り" totalsRowCellStyle="桁区切り">
      <totalsRowFormula>SUM(LTBL_27220[総数／事業所数])</totalsRowFormula>
    </tableColumn>
    <tableColumn id="11" xr3:uid="{F8E63287-D025-4634-9A0C-E4F31AF90F5D}" name="総数／構成比" dataDxfId="319"/>
    <tableColumn id="12" xr3:uid="{AE96D436-DCDC-4FFC-BE03-20F3F4B0D118}" name="個人／事業所数" totalsRowFunction="sum" totalsRowDxfId="318" dataCellStyle="桁区切り" totalsRowCellStyle="桁区切り"/>
    <tableColumn id="13" xr3:uid="{8873C9F0-FC52-41AC-82DC-CC567C914149}" name="個人／構成比" dataDxfId="317"/>
    <tableColumn id="14" xr3:uid="{BFA89076-18EE-4802-A415-DB1D4DF2723E}" name="法人／事業所数" totalsRowFunction="sum" totalsRowDxfId="316" dataCellStyle="桁区切り" totalsRowCellStyle="桁区切り"/>
    <tableColumn id="15" xr3:uid="{BB262BC1-4DA7-4259-A54B-71234193F534}" name="法人／構成比" dataDxfId="315"/>
    <tableColumn id="16" xr3:uid="{C8A16927-4D3E-4719-B0A6-44C6390C8BFD}" name="法人以外の団体／事業所数" totalsRowFunction="sum" totalsRowDxfId="314" dataCellStyle="桁区切り" totalsRowCellStyle="桁区切り"/>
  </tableColumns>
  <tableStyleInfo name="TableStyleMedium9" showFirstColumn="0" showLastColumn="0" showRowStripes="1" showColumnStripes="0"/>
</table>
</file>

<file path=xl/tables/table1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8" xr:uid="{1EA4694F-3242-49F3-A449-820E7DC6A6D7}" name="M_TABLE_27220" displayName="M_TABLE_27220" ref="B23:I43" totalsRowShown="0">
  <autoFilter ref="B23:I43" xr:uid="{1EA4694F-3242-49F3-A449-820E7DC6A6D7}"/>
  <tableColumns count="8">
    <tableColumn id="9" xr3:uid="{D7B94CB3-5B72-42E9-9F01-4ADBCC339D05}" name="産業中分類上位２０"/>
    <tableColumn id="10" xr3:uid="{FBFB943B-E98F-4D37-A109-9CBEF23A84F1}" name="総数／事業所数" dataCellStyle="桁区切り"/>
    <tableColumn id="11" xr3:uid="{5D9F7294-A4C6-442A-A9A7-842F4D49352A}" name="総数／構成比" dataDxfId="313"/>
    <tableColumn id="12" xr3:uid="{D9686361-BE4D-46C7-A567-24C09E74CB7A}" name="個人／事業所数" dataCellStyle="桁区切り"/>
    <tableColumn id="13" xr3:uid="{93EF2382-EDD1-43C9-A64D-061E2F1E9A6A}" name="個人／構成比" dataDxfId="312"/>
    <tableColumn id="14" xr3:uid="{D75E3DF3-D72A-470C-9C84-B7FBE030E0EA}" name="法人／事業所数" dataCellStyle="桁区切り"/>
    <tableColumn id="15" xr3:uid="{FB6E1FD0-2BCA-4141-AB43-3084EB9FDDFD}" name="法人／構成比" dataDxfId="311"/>
    <tableColumn id="16" xr3:uid="{A1D8D764-C73D-4828-B96D-B59FF89EA670}" name="法人以外の団体／事業所数" dataCellStyle="桁区切り"/>
  </tableColumns>
  <tableStyleInfo name="TableStyleMedium9" showFirstColumn="0" showLastColumn="0" showRowStripes="1" showColumnStripes="0"/>
</table>
</file>

<file path=xl/tables/table1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9" xr:uid="{635B309A-8039-4E98-81BE-3701B45C3A43}" name="S_TABLE_27220" displayName="S_TABLE_27220" ref="B46:I67" totalsRowShown="0">
  <autoFilter ref="B46:I67" xr:uid="{635B309A-8039-4E98-81BE-3701B45C3A43}"/>
  <tableColumns count="8">
    <tableColumn id="9" xr3:uid="{89F43CF6-6018-45CF-9120-486B11C5F52B}" name="産業小分類上位２０"/>
    <tableColumn id="10" xr3:uid="{45F7E37F-1D38-41BC-991E-75E0CF7B20B2}" name="総数／事業所数" dataCellStyle="桁区切り"/>
    <tableColumn id="11" xr3:uid="{292ED1E4-733D-4E44-BA5B-18E371C1DA52}" name="総数／構成比" dataDxfId="310"/>
    <tableColumn id="12" xr3:uid="{963F011C-ACBE-40FD-9CB3-C45749252466}" name="個人／事業所数" dataCellStyle="桁区切り"/>
    <tableColumn id="13" xr3:uid="{FE249AE7-CA61-4D14-8D97-882C657B9BFC}" name="個人／構成比" dataDxfId="309"/>
    <tableColumn id="14" xr3:uid="{83D2ECF7-4A7D-4EFB-B458-08E682B958F9}" name="法人／事業所数" dataCellStyle="桁区切り"/>
    <tableColumn id="15" xr3:uid="{CBC38E69-AEE3-4325-A150-CA3807D62D23}" name="法人／構成比" dataDxfId="308"/>
    <tableColumn id="16" xr3:uid="{171EF820-3832-4114-B398-107D5DCB6ECA}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3E8ADA16-DC7A-4B07-AC8D-E091606CB75B}" name="LTBL_27106" displayName="LTBL_27106" ref="B4:I20" totalsRowCount="1">
  <autoFilter ref="B4:I19" xr:uid="{3E8ADA16-DC7A-4B07-AC8D-E091606CB75B}"/>
  <tableColumns count="8">
    <tableColumn id="9" xr3:uid="{5AD61150-B019-41A8-B438-95F397B2A94E}" name="産業大分類" totalsRowLabel="合計" totalsRowDxfId="979"/>
    <tableColumn id="10" xr3:uid="{1EEDA978-3728-4366-B05B-43C63B56DCE4}" name="総数／事業所数" totalsRowFunction="custom" totalsRowDxfId="978" dataCellStyle="桁区切り" totalsRowCellStyle="桁区切り">
      <totalsRowFormula>SUM(LTBL_27106[総数／事業所数])</totalsRowFormula>
    </tableColumn>
    <tableColumn id="11" xr3:uid="{93CA29B5-7694-4D85-B1CC-F9CDD6127696}" name="総数／構成比" dataDxfId="977"/>
    <tableColumn id="12" xr3:uid="{1B797773-D99D-473F-9D96-FF5903560A5D}" name="個人／事業所数" totalsRowFunction="sum" totalsRowDxfId="976" dataCellStyle="桁区切り" totalsRowCellStyle="桁区切り"/>
    <tableColumn id="13" xr3:uid="{77AB41B1-6546-471E-8CD3-7EF250AE8FED}" name="個人／構成比" dataDxfId="975"/>
    <tableColumn id="14" xr3:uid="{1F7932D2-A4E5-4020-BC88-E17081689954}" name="法人／事業所数" totalsRowFunction="sum" totalsRowDxfId="974" dataCellStyle="桁区切り" totalsRowCellStyle="桁区切り"/>
    <tableColumn id="15" xr3:uid="{3A27B45D-90FD-4F86-B49E-6869DBF66A26}" name="法人／構成比" dataDxfId="973"/>
    <tableColumn id="16" xr3:uid="{B1E5C779-0E14-4145-AC8E-399404EE4E22}" name="法人以外の団体／事業所数" totalsRowFunction="sum" totalsRowDxfId="972" dataCellStyle="桁区切り" totalsRowCellStyle="桁区切り"/>
  </tableColumns>
  <tableStyleInfo name="TableStyleMedium9" showFirstColumn="0" showLastColumn="0" showRowStripes="1" showColumnStripes="0"/>
</table>
</file>

<file path=xl/tables/table1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0" xr:uid="{CA26B906-BE8E-49F7-AF3F-2679C25C0CB9}" name="LTBL_27221" displayName="LTBL_27221" ref="B4:I20" totalsRowCount="1">
  <autoFilter ref="B4:I19" xr:uid="{CA26B906-BE8E-49F7-AF3F-2679C25C0CB9}"/>
  <tableColumns count="8">
    <tableColumn id="9" xr3:uid="{422B2B82-C38F-4953-BCE0-C97C7EBF4BA4}" name="産業大分類" totalsRowLabel="合計" totalsRowDxfId="307"/>
    <tableColumn id="10" xr3:uid="{C31F9E30-B835-4730-BDF4-104317924EDC}" name="総数／事業所数" totalsRowFunction="custom" totalsRowDxfId="306" dataCellStyle="桁区切り" totalsRowCellStyle="桁区切り">
      <totalsRowFormula>SUM(LTBL_27221[総数／事業所数])</totalsRowFormula>
    </tableColumn>
    <tableColumn id="11" xr3:uid="{061F6B80-C475-4123-AF09-B55FAF74C05E}" name="総数／構成比" dataDxfId="305"/>
    <tableColumn id="12" xr3:uid="{E265B3F6-8DCD-4900-8863-38FA053FCD40}" name="個人／事業所数" totalsRowFunction="sum" totalsRowDxfId="304" dataCellStyle="桁区切り" totalsRowCellStyle="桁区切り"/>
    <tableColumn id="13" xr3:uid="{2952B919-7178-473C-9B05-9CB81C7E1683}" name="個人／構成比" dataDxfId="303"/>
    <tableColumn id="14" xr3:uid="{65AEB75F-9251-4003-BB07-3036416FAA61}" name="法人／事業所数" totalsRowFunction="sum" totalsRowDxfId="302" dataCellStyle="桁区切り" totalsRowCellStyle="桁区切り"/>
    <tableColumn id="15" xr3:uid="{E4CA0BE7-FAC7-4DA3-B211-B88A6E31CF15}" name="法人／構成比" dataDxfId="301"/>
    <tableColumn id="16" xr3:uid="{DBA3D1C1-0E4D-497F-8E4A-4F00BC8E6990}" name="法人以外の団体／事業所数" totalsRowFunction="sum" totalsRowDxfId="300" dataCellStyle="桁区切り" totalsRowCellStyle="桁区切り"/>
  </tableColumns>
  <tableStyleInfo name="TableStyleMedium9" showFirstColumn="0" showLastColumn="0" showRowStripes="1" showColumnStripes="0"/>
</table>
</file>

<file path=xl/tables/table1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1" xr:uid="{BF48352A-5CC7-411B-BCB4-8EDE96C8B430}" name="M_TABLE_27221" displayName="M_TABLE_27221" ref="B23:I44" totalsRowShown="0">
  <autoFilter ref="B23:I44" xr:uid="{BF48352A-5CC7-411B-BCB4-8EDE96C8B430}"/>
  <tableColumns count="8">
    <tableColumn id="9" xr3:uid="{F0654C3B-4B02-4928-B736-C4588D412A43}" name="産業中分類上位２０"/>
    <tableColumn id="10" xr3:uid="{3CE66A1F-73B5-4802-8DE5-F1AD857F07F5}" name="総数／事業所数" dataCellStyle="桁区切り"/>
    <tableColumn id="11" xr3:uid="{3B09351B-1C8B-4C8E-8F8D-3551CE0C242F}" name="総数／構成比" dataDxfId="299"/>
    <tableColumn id="12" xr3:uid="{F2F01C2C-19E3-4D0A-A46C-CBA21287C903}" name="個人／事業所数" dataCellStyle="桁区切り"/>
    <tableColumn id="13" xr3:uid="{A040AB1D-CA9E-41E3-9E5C-C9788E85A9FF}" name="個人／構成比" dataDxfId="298"/>
    <tableColumn id="14" xr3:uid="{0190358F-C3D6-4CDB-82B3-7A2AD0C5A892}" name="法人／事業所数" dataCellStyle="桁区切り"/>
    <tableColumn id="15" xr3:uid="{4B23C97C-E1F6-4DC2-8588-19622B7BBF58}" name="法人／構成比" dataDxfId="297"/>
    <tableColumn id="16" xr3:uid="{46340CD3-3870-4615-A392-FD25B936A056}" name="法人以外の団体／事業所数" dataCellStyle="桁区切り"/>
  </tableColumns>
  <tableStyleInfo name="TableStyleMedium9" showFirstColumn="0" showLastColumn="0" showRowStripes="1" showColumnStripes="0"/>
</table>
</file>

<file path=xl/tables/table1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2" xr:uid="{55246643-15EF-4D21-83EC-8962C13DF2D6}" name="S_TABLE_27221" displayName="S_TABLE_27221" ref="B47:I67" totalsRowShown="0">
  <autoFilter ref="B47:I67" xr:uid="{55246643-15EF-4D21-83EC-8962C13DF2D6}"/>
  <tableColumns count="8">
    <tableColumn id="9" xr3:uid="{FBB135A1-A396-4E1E-A2C3-1EDDFF8DF2A4}" name="産業小分類上位２０"/>
    <tableColumn id="10" xr3:uid="{78B2F4F8-EA9B-41B0-A268-BE9B919FE488}" name="総数／事業所数" dataCellStyle="桁区切り"/>
    <tableColumn id="11" xr3:uid="{8360E7F8-FA27-448F-915B-07CB0D6629DE}" name="総数／構成比" dataDxfId="296"/>
    <tableColumn id="12" xr3:uid="{B9A87D43-5FC6-4328-A757-D8BEBDA17DCE}" name="個人／事業所数" dataCellStyle="桁区切り"/>
    <tableColumn id="13" xr3:uid="{453E4BA8-7C8D-4134-AD66-CAF9E496AFE8}" name="個人／構成比" dataDxfId="295"/>
    <tableColumn id="14" xr3:uid="{C6F37957-0650-4E8A-BD05-382FBC56BD14}" name="法人／事業所数" dataCellStyle="桁区切り"/>
    <tableColumn id="15" xr3:uid="{4AB9F85B-0C50-438A-B0FB-16F4FE791D5E}" name="法人／構成比" dataDxfId="294"/>
    <tableColumn id="16" xr3:uid="{8188CCDF-1AD2-45F5-8BE3-B3E75DBD8FDD}" name="法人以外の団体／事業所数" dataCellStyle="桁区切り"/>
  </tableColumns>
  <tableStyleInfo name="TableStyleMedium9" showFirstColumn="0" showLastColumn="0" showRowStripes="1" showColumnStripes="0"/>
</table>
</file>

<file path=xl/tables/table1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3" xr:uid="{36F4BF69-6779-4E24-A9FA-1AC2377E10D6}" name="LTBL_27222" displayName="LTBL_27222" ref="B4:I20" totalsRowCount="1">
  <autoFilter ref="B4:I19" xr:uid="{36F4BF69-6779-4E24-A9FA-1AC2377E10D6}"/>
  <tableColumns count="8">
    <tableColumn id="9" xr3:uid="{F0543207-12E2-42B1-9924-282F6C75E72B}" name="産業大分類" totalsRowLabel="合計" totalsRowDxfId="293"/>
    <tableColumn id="10" xr3:uid="{1F745B75-C09A-4189-9E80-F043D22C03AC}" name="総数／事業所数" totalsRowFunction="custom" totalsRowDxfId="292" dataCellStyle="桁区切り" totalsRowCellStyle="桁区切り">
      <totalsRowFormula>SUM(LTBL_27222[総数／事業所数])</totalsRowFormula>
    </tableColumn>
    <tableColumn id="11" xr3:uid="{258E70EA-0756-4C31-94B7-65287AF26EA7}" name="総数／構成比" dataDxfId="291"/>
    <tableColumn id="12" xr3:uid="{21B00156-6726-42F2-A6CD-9B6C211B6622}" name="個人／事業所数" totalsRowFunction="sum" totalsRowDxfId="290" dataCellStyle="桁区切り" totalsRowCellStyle="桁区切り"/>
    <tableColumn id="13" xr3:uid="{57DF9E6D-CF66-4E8D-9416-00D04A1E2516}" name="個人／構成比" dataDxfId="289"/>
    <tableColumn id="14" xr3:uid="{77206A25-B18E-441C-BCFF-8FC32FA67126}" name="法人／事業所数" totalsRowFunction="sum" totalsRowDxfId="288" dataCellStyle="桁区切り" totalsRowCellStyle="桁区切り"/>
    <tableColumn id="15" xr3:uid="{C24963FE-A585-455A-80DC-356F5401C797}" name="法人／構成比" dataDxfId="287"/>
    <tableColumn id="16" xr3:uid="{D990B06D-37F3-417E-ACF9-E656552EE228}" name="法人以外の団体／事業所数" totalsRowFunction="sum" totalsRowDxfId="286" dataCellStyle="桁区切り" totalsRowCellStyle="桁区切り"/>
  </tableColumns>
  <tableStyleInfo name="TableStyleMedium9" showFirstColumn="0" showLastColumn="0" showRowStripes="1" showColumnStripes="0"/>
</table>
</file>

<file path=xl/tables/table1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4" xr:uid="{AE2E3AE0-09AD-4F7E-9B02-B46DD7C5B2DF}" name="M_TABLE_27222" displayName="M_TABLE_27222" ref="B23:I43" totalsRowShown="0">
  <autoFilter ref="B23:I43" xr:uid="{AE2E3AE0-09AD-4F7E-9B02-B46DD7C5B2DF}"/>
  <tableColumns count="8">
    <tableColumn id="9" xr3:uid="{C5DD4DCD-2276-40EF-86B4-4F6A20212F46}" name="産業中分類上位２０"/>
    <tableColumn id="10" xr3:uid="{0BFB40BF-683E-4C73-AF59-DE634DDC8422}" name="総数／事業所数" dataCellStyle="桁区切り"/>
    <tableColumn id="11" xr3:uid="{6D551383-CF60-445F-87CB-60839E5392D2}" name="総数／構成比" dataDxfId="285"/>
    <tableColumn id="12" xr3:uid="{BB4A2516-410A-4A65-B53D-DED94A2C689A}" name="個人／事業所数" dataCellStyle="桁区切り"/>
    <tableColumn id="13" xr3:uid="{7E1AE6F3-F4EB-4639-BC27-EF84412FC1D2}" name="個人／構成比" dataDxfId="284"/>
    <tableColumn id="14" xr3:uid="{FA92E60A-7589-4963-A464-4C0AB660BFC5}" name="法人／事業所数" dataCellStyle="桁区切り"/>
    <tableColumn id="15" xr3:uid="{1CD4D5C6-3325-419A-8081-F56CA5196991}" name="法人／構成比" dataDxfId="283"/>
    <tableColumn id="16" xr3:uid="{F72909D8-62F2-479D-AC1E-EB29214FF4C0}" name="法人以外の団体／事業所数" dataCellStyle="桁区切り"/>
  </tableColumns>
  <tableStyleInfo name="TableStyleMedium9" showFirstColumn="0" showLastColumn="0" showRowStripes="1" showColumnStripes="0"/>
</table>
</file>

<file path=xl/tables/table1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5" xr:uid="{37A1A094-5569-4746-87F6-E58AC5102A98}" name="S_TABLE_27222" displayName="S_TABLE_27222" ref="B46:I67" totalsRowShown="0">
  <autoFilter ref="B46:I67" xr:uid="{37A1A094-5569-4746-87F6-E58AC5102A98}"/>
  <tableColumns count="8">
    <tableColumn id="9" xr3:uid="{A89CEE1D-D075-4948-B06E-9A3007112A04}" name="産業小分類上位２０"/>
    <tableColumn id="10" xr3:uid="{199E055E-F15A-4156-915E-4AF8A556A311}" name="総数／事業所数" dataCellStyle="桁区切り"/>
    <tableColumn id="11" xr3:uid="{F021489B-6F11-4F97-9EC2-C08405D626EC}" name="総数／構成比" dataDxfId="282"/>
    <tableColumn id="12" xr3:uid="{FB053BAD-2E6C-4859-897B-A147E7BFA0BE}" name="個人／事業所数" dataCellStyle="桁区切り"/>
    <tableColumn id="13" xr3:uid="{A949633B-BDF4-4EB7-AEF6-3EA62D398FE2}" name="個人／構成比" dataDxfId="281"/>
    <tableColumn id="14" xr3:uid="{3F81DEFD-8FAA-45EF-A094-8ABF5F351289}" name="法人／事業所数" dataCellStyle="桁区切り"/>
    <tableColumn id="15" xr3:uid="{65DAD584-F910-46D2-BAD3-13654A52A263}" name="法人／構成比" dataDxfId="280"/>
    <tableColumn id="16" xr3:uid="{13482BF8-433F-43DA-B99B-D8C486ADAF74}" name="法人以外の団体／事業所数" dataCellStyle="桁区切り"/>
  </tableColumns>
  <tableStyleInfo name="TableStyleMedium9" showFirstColumn="0" showLastColumn="0" showRowStripes="1" showColumnStripes="0"/>
</table>
</file>

<file path=xl/tables/table1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6" xr:uid="{623170F8-3844-4789-A93E-78532EC29DAF}" name="LTBL_27223" displayName="LTBL_27223" ref="B4:I20" totalsRowCount="1">
  <autoFilter ref="B4:I19" xr:uid="{623170F8-3844-4789-A93E-78532EC29DAF}"/>
  <tableColumns count="8">
    <tableColumn id="9" xr3:uid="{D3D0C25F-5E80-4720-94D6-8F7AA4862D13}" name="産業大分類" totalsRowLabel="合計" totalsRowDxfId="279"/>
    <tableColumn id="10" xr3:uid="{C8C6D84B-8776-4B8C-AB65-C194D25FB356}" name="総数／事業所数" totalsRowFunction="custom" totalsRowDxfId="278" dataCellStyle="桁区切り" totalsRowCellStyle="桁区切り">
      <totalsRowFormula>SUM(LTBL_27223[総数／事業所数])</totalsRowFormula>
    </tableColumn>
    <tableColumn id="11" xr3:uid="{1FA329DB-601F-4B9F-8625-8DEC5FC8ECD5}" name="総数／構成比" dataDxfId="277"/>
    <tableColumn id="12" xr3:uid="{81F023CB-BE55-4E83-B6FC-A351BD45CBD7}" name="個人／事業所数" totalsRowFunction="sum" totalsRowDxfId="276" dataCellStyle="桁区切り" totalsRowCellStyle="桁区切り"/>
    <tableColumn id="13" xr3:uid="{358FF021-7E77-4A1B-97EC-B1DA14DA8B06}" name="個人／構成比" dataDxfId="275"/>
    <tableColumn id="14" xr3:uid="{4A93A004-3EB5-451E-B983-261EFC5E52D3}" name="法人／事業所数" totalsRowFunction="sum" totalsRowDxfId="274" dataCellStyle="桁区切り" totalsRowCellStyle="桁区切り"/>
    <tableColumn id="15" xr3:uid="{1EEC4AAF-D7CD-4FBE-A6B3-B3DC0F6261F7}" name="法人／構成比" dataDxfId="273"/>
    <tableColumn id="16" xr3:uid="{E1720D19-5489-40E6-9248-742B3375EA3B}" name="法人以外の団体／事業所数" totalsRowFunction="sum" totalsRowDxfId="272" dataCellStyle="桁区切り" totalsRowCellStyle="桁区切り"/>
  </tableColumns>
  <tableStyleInfo name="TableStyleMedium9" showFirstColumn="0" showLastColumn="0" showRowStripes="1" showColumnStripes="0"/>
</table>
</file>

<file path=xl/tables/table1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7" xr:uid="{2892C6CB-CBD7-4978-A663-0DF25BF9F9EE}" name="M_TABLE_27223" displayName="M_TABLE_27223" ref="B23:I46" totalsRowShown="0">
  <autoFilter ref="B23:I46" xr:uid="{2892C6CB-CBD7-4978-A663-0DF25BF9F9EE}"/>
  <tableColumns count="8">
    <tableColumn id="9" xr3:uid="{06A86E91-9A32-42D5-B9F9-62E34F517C5B}" name="産業中分類上位２０"/>
    <tableColumn id="10" xr3:uid="{5045BB20-A9C8-4DD1-85C0-294A275D4EB1}" name="総数／事業所数" dataCellStyle="桁区切り"/>
    <tableColumn id="11" xr3:uid="{B58B0A9F-028A-4C94-B262-8FC31E57EFAD}" name="総数／構成比" dataDxfId="271"/>
    <tableColumn id="12" xr3:uid="{E451492E-3577-4CC2-A279-DF23A972B069}" name="個人／事業所数" dataCellStyle="桁区切り"/>
    <tableColumn id="13" xr3:uid="{54B99DE5-1DF8-486D-BF5B-47C5DB8250CC}" name="個人／構成比" dataDxfId="270"/>
    <tableColumn id="14" xr3:uid="{1720FAE2-9ABB-419A-8892-8AAD5B37FD92}" name="法人／事業所数" dataCellStyle="桁区切り"/>
    <tableColumn id="15" xr3:uid="{8B23178B-ECEB-472B-BD34-EDAE9D872180}" name="法人／構成比" dataDxfId="269"/>
    <tableColumn id="16" xr3:uid="{D8C43BC3-02E6-4D82-BDF0-D2A614F4AB58}" name="法人以外の団体／事業所数" dataCellStyle="桁区切り"/>
  </tableColumns>
  <tableStyleInfo name="TableStyleMedium9" showFirstColumn="0" showLastColumn="0" showRowStripes="1" showColumnStripes="0"/>
</table>
</file>

<file path=xl/tables/table1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8" xr:uid="{7C439F44-4685-426B-8D46-1D933B94F430}" name="S_TABLE_27223" displayName="S_TABLE_27223" ref="B49:I70" totalsRowShown="0">
  <autoFilter ref="B49:I70" xr:uid="{7C439F44-4685-426B-8D46-1D933B94F430}"/>
  <tableColumns count="8">
    <tableColumn id="9" xr3:uid="{1F674C7E-7AD3-4E6A-8796-BD1D5571A177}" name="産業小分類上位２０"/>
    <tableColumn id="10" xr3:uid="{2C4B7623-9515-4B99-BB53-52A31D39753C}" name="総数／事業所数" dataCellStyle="桁区切り"/>
    <tableColumn id="11" xr3:uid="{8D692280-E83E-46B8-A9D4-B2B95593E932}" name="総数／構成比" dataDxfId="268"/>
    <tableColumn id="12" xr3:uid="{600BE358-2055-41FA-8A7F-8812049F609C}" name="個人／事業所数" dataCellStyle="桁区切り"/>
    <tableColumn id="13" xr3:uid="{111F73DE-D4CD-4BC4-96DE-A29BD09156A3}" name="個人／構成比" dataDxfId="267"/>
    <tableColumn id="14" xr3:uid="{E522A4DC-E11C-46D8-8CA1-FB28BC32F66C}" name="法人／事業所数" dataCellStyle="桁区切り"/>
    <tableColumn id="15" xr3:uid="{CC82E7F9-8252-41D0-A46B-69EA09293B86}" name="法人／構成比" dataDxfId="266"/>
    <tableColumn id="16" xr3:uid="{3003D16A-BBEF-49EC-AB29-D0C641324D31}" name="法人以外の団体／事業所数" dataCellStyle="桁区切り"/>
  </tableColumns>
  <tableStyleInfo name="TableStyleMedium9" showFirstColumn="0" showLastColumn="0" showRowStripes="1" showColumnStripes="0"/>
</table>
</file>

<file path=xl/tables/table1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9" xr:uid="{5B909754-5DCA-4A44-9815-627EE2F72512}" name="LTBL_27224" displayName="LTBL_27224" ref="B4:I20" totalsRowCount="1">
  <autoFilter ref="B4:I19" xr:uid="{5B909754-5DCA-4A44-9815-627EE2F72512}"/>
  <tableColumns count="8">
    <tableColumn id="9" xr3:uid="{A7C91935-FDC6-4342-9313-7CBDC31D3E9D}" name="産業大分類" totalsRowLabel="合計" totalsRowDxfId="265"/>
    <tableColumn id="10" xr3:uid="{38C11D68-B992-47D0-BEF1-CA5C4CB6417C}" name="総数／事業所数" totalsRowFunction="custom" totalsRowDxfId="264" dataCellStyle="桁区切り" totalsRowCellStyle="桁区切り">
      <totalsRowFormula>SUM(LTBL_27224[総数／事業所数])</totalsRowFormula>
    </tableColumn>
    <tableColumn id="11" xr3:uid="{FBB7B892-3229-48D9-AE13-AFBBDD016A59}" name="総数／構成比" dataDxfId="263"/>
    <tableColumn id="12" xr3:uid="{568A2776-D6E1-4062-8F76-2EE61F03FFF6}" name="個人／事業所数" totalsRowFunction="sum" totalsRowDxfId="262" dataCellStyle="桁区切り" totalsRowCellStyle="桁区切り"/>
    <tableColumn id="13" xr3:uid="{87549266-8154-411A-963C-FADFED1FFB10}" name="個人／構成比" dataDxfId="261"/>
    <tableColumn id="14" xr3:uid="{1A6D6A65-877B-4A12-A4A6-9F834BE431F6}" name="法人／事業所数" totalsRowFunction="sum" totalsRowDxfId="260" dataCellStyle="桁区切り" totalsRowCellStyle="桁区切り"/>
    <tableColumn id="15" xr3:uid="{D98247BE-95A7-449F-A822-5251B5E635AD}" name="法人／構成比" dataDxfId="259"/>
    <tableColumn id="16" xr3:uid="{09B7C280-21DC-45EA-8B61-169DEF7B7DF8}" name="法人以外の団体／事業所数" totalsRowFunction="sum" totalsRowDxfId="258" dataCellStyle="桁区切り" totalsRow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F63BFFBD-02C3-4484-8217-C9CFB0CB90EF}" name="M_TABLE_27106" displayName="M_TABLE_27106" ref="B23:I43" totalsRowShown="0">
  <autoFilter ref="B23:I43" xr:uid="{F63BFFBD-02C3-4484-8217-C9CFB0CB90EF}"/>
  <tableColumns count="8">
    <tableColumn id="9" xr3:uid="{D7CA0943-69A5-4DF4-B236-8321AEFA8789}" name="産業中分類上位２０"/>
    <tableColumn id="10" xr3:uid="{41D13CBC-6D57-48A8-A0DD-1953D07E8505}" name="総数／事業所数" dataCellStyle="桁区切り"/>
    <tableColumn id="11" xr3:uid="{3AF0ED1C-D98C-43D6-B621-A6A8C097B6A9}" name="総数／構成比" dataDxfId="971"/>
    <tableColumn id="12" xr3:uid="{A55C32AE-EA70-487E-A9B7-15DEDFDE1E70}" name="個人／事業所数" dataCellStyle="桁区切り"/>
    <tableColumn id="13" xr3:uid="{A3CC4F4C-6067-4D46-AB1C-91DE432F8684}" name="個人／構成比" dataDxfId="970"/>
    <tableColumn id="14" xr3:uid="{3C2891BB-6ABF-4D89-9045-65317D30F448}" name="法人／事業所数" dataCellStyle="桁区切り"/>
    <tableColumn id="15" xr3:uid="{2EC985AC-1A95-4B7B-B393-DBE4E97E6A04}" name="法人／構成比" dataDxfId="969"/>
    <tableColumn id="16" xr3:uid="{21D071FD-4042-460B-A52C-2C86F88CA4E6}" name="法人以外の団体／事業所数" dataCellStyle="桁区切り"/>
  </tableColumns>
  <tableStyleInfo name="TableStyleMedium9" showFirstColumn="0" showLastColumn="0" showRowStripes="1" showColumnStripes="0"/>
</table>
</file>

<file path=xl/tables/table1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0" xr:uid="{CDF65E0B-13FD-4A2B-8029-0BD7A85E64AD}" name="M_TABLE_27224" displayName="M_TABLE_27224" ref="B23:I43" totalsRowShown="0">
  <autoFilter ref="B23:I43" xr:uid="{CDF65E0B-13FD-4A2B-8029-0BD7A85E64AD}"/>
  <tableColumns count="8">
    <tableColumn id="9" xr3:uid="{B79FBEC1-F6BF-4E6F-B4D9-BC89A3A49923}" name="産業中分類上位２０"/>
    <tableColumn id="10" xr3:uid="{7AA99618-F2AC-49EB-9813-33D33A291D01}" name="総数／事業所数" dataCellStyle="桁区切り"/>
    <tableColumn id="11" xr3:uid="{7B9EBFE5-72DE-47DE-A151-808BB1ACD7BF}" name="総数／構成比" dataDxfId="257"/>
    <tableColumn id="12" xr3:uid="{334361A3-27CA-4F7A-9675-B19AE4AB95EE}" name="個人／事業所数" dataCellStyle="桁区切り"/>
    <tableColumn id="13" xr3:uid="{96F76306-AC14-4034-A04F-BFF09F125E0E}" name="個人／構成比" dataDxfId="256"/>
    <tableColumn id="14" xr3:uid="{66024985-2F0B-4862-B160-EDBAD0BC915F}" name="法人／事業所数" dataCellStyle="桁区切り"/>
    <tableColumn id="15" xr3:uid="{DF54E971-15C4-4F81-9F11-4DE3010D83E8}" name="法人／構成比" dataDxfId="255"/>
    <tableColumn id="16" xr3:uid="{DD64111F-A148-4DC8-87AC-19DF921CF121}" name="法人以外の団体／事業所数" dataCellStyle="桁区切り"/>
  </tableColumns>
  <tableStyleInfo name="TableStyleMedium9" showFirstColumn="0" showLastColumn="0" showRowStripes="1" showColumnStripes="0"/>
</table>
</file>

<file path=xl/tables/table1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1" xr:uid="{A648DD55-573D-4047-A6EE-C282B8CC8C29}" name="S_TABLE_27224" displayName="S_TABLE_27224" ref="B46:I66" totalsRowShown="0">
  <autoFilter ref="B46:I66" xr:uid="{A648DD55-573D-4047-A6EE-C282B8CC8C29}"/>
  <tableColumns count="8">
    <tableColumn id="9" xr3:uid="{2850271C-213B-4084-9537-258A10FAEEC5}" name="産業小分類上位２０"/>
    <tableColumn id="10" xr3:uid="{CCE6F1B1-074E-4C85-B743-D552F17E8340}" name="総数／事業所数" dataCellStyle="桁区切り"/>
    <tableColumn id="11" xr3:uid="{03781F3E-F352-4D05-A248-0218ED7412F0}" name="総数／構成比" dataDxfId="254"/>
    <tableColumn id="12" xr3:uid="{BDFECE35-59E2-4468-8370-099776275F2D}" name="個人／事業所数" dataCellStyle="桁区切り"/>
    <tableColumn id="13" xr3:uid="{12DD97B3-721F-47F6-A369-5AEFE545E76E}" name="個人／構成比" dataDxfId="253"/>
    <tableColumn id="14" xr3:uid="{5438B86B-00CE-4BC9-A467-53096EB13914}" name="法人／事業所数" dataCellStyle="桁区切り"/>
    <tableColumn id="15" xr3:uid="{2A74A5E5-87AD-4603-9C8E-18B4DB944A41}" name="法人／構成比" dataDxfId="252"/>
    <tableColumn id="16" xr3:uid="{7B170E16-CB10-4F1A-A545-2E903B5D66C0}" name="法人以外の団体／事業所数" dataCellStyle="桁区切り"/>
  </tableColumns>
  <tableStyleInfo name="TableStyleMedium9" showFirstColumn="0" showLastColumn="0" showRowStripes="1" showColumnStripes="0"/>
</table>
</file>

<file path=xl/tables/table1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2" xr:uid="{F10EB605-C5BF-4E02-9EE2-AFB60BBD0BCF}" name="LTBL_27225" displayName="LTBL_27225" ref="B4:I20" totalsRowCount="1">
  <autoFilter ref="B4:I19" xr:uid="{F10EB605-C5BF-4E02-9EE2-AFB60BBD0BCF}"/>
  <tableColumns count="8">
    <tableColumn id="9" xr3:uid="{9D50213B-24D0-4739-AFD8-EE44DF44785A}" name="産業大分類" totalsRowLabel="合計" totalsRowDxfId="251"/>
    <tableColumn id="10" xr3:uid="{63F25737-9FEA-47FA-B7B6-2217B40DD831}" name="総数／事業所数" totalsRowFunction="custom" totalsRowDxfId="250" dataCellStyle="桁区切り" totalsRowCellStyle="桁区切り">
      <totalsRowFormula>SUM(LTBL_27225[総数／事業所数])</totalsRowFormula>
    </tableColumn>
    <tableColumn id="11" xr3:uid="{0859B7A9-D01A-449D-B049-299E4CA88DEF}" name="総数／構成比" dataDxfId="249"/>
    <tableColumn id="12" xr3:uid="{3754CCC9-7EB1-4D01-9403-A1730FD92710}" name="個人／事業所数" totalsRowFunction="sum" totalsRowDxfId="248" dataCellStyle="桁区切り" totalsRowCellStyle="桁区切り"/>
    <tableColumn id="13" xr3:uid="{EFAB82A2-5E91-4CEE-8BD8-BE4F8BD0DA18}" name="個人／構成比" dataDxfId="247"/>
    <tableColumn id="14" xr3:uid="{DBD9B2FC-8085-47CC-9726-5661F0FB1071}" name="法人／事業所数" totalsRowFunction="sum" totalsRowDxfId="246" dataCellStyle="桁区切り" totalsRowCellStyle="桁区切り"/>
    <tableColumn id="15" xr3:uid="{C7D9FEEE-0ECB-43C9-A96D-D091041DA9BB}" name="法人／構成比" dataDxfId="245"/>
    <tableColumn id="16" xr3:uid="{E76EB4D9-CAFA-4120-8D5B-443CDEB74EAE}" name="法人以外の団体／事業所数" totalsRowFunction="sum" totalsRowDxfId="244" dataCellStyle="桁区切り" totalsRowCellStyle="桁区切り"/>
  </tableColumns>
  <tableStyleInfo name="TableStyleMedium9" showFirstColumn="0" showLastColumn="0" showRowStripes="1" showColumnStripes="0"/>
</table>
</file>

<file path=xl/tables/table1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3" xr:uid="{89D737DD-FDAE-4811-9ECE-B98BA9CCEDF9}" name="M_TABLE_27225" displayName="M_TABLE_27225" ref="B23:I44" totalsRowShown="0">
  <autoFilter ref="B23:I44" xr:uid="{89D737DD-FDAE-4811-9ECE-B98BA9CCEDF9}"/>
  <tableColumns count="8">
    <tableColumn id="9" xr3:uid="{53AF5FB7-8FE5-4D29-9229-08683501B5A4}" name="産業中分類上位２０"/>
    <tableColumn id="10" xr3:uid="{54480F83-C97F-44AE-A6A5-25A33A769757}" name="総数／事業所数" dataCellStyle="桁区切り"/>
    <tableColumn id="11" xr3:uid="{68E6D5BF-9284-4644-92AB-ABD9F6E42920}" name="総数／構成比" dataDxfId="243"/>
    <tableColumn id="12" xr3:uid="{A97A271D-F079-48D6-841C-3C87759CF6E6}" name="個人／事業所数" dataCellStyle="桁区切り"/>
    <tableColumn id="13" xr3:uid="{92D1E6EF-6BEA-4FA6-BA00-F1CD6536AA25}" name="個人／構成比" dataDxfId="242"/>
    <tableColumn id="14" xr3:uid="{FEA2CFC7-A859-4F6C-AC5A-FA4A5CA41D70}" name="法人／事業所数" dataCellStyle="桁区切り"/>
    <tableColumn id="15" xr3:uid="{4A13EA53-2DB4-4C7F-B360-4B69C044ABE6}" name="法人／構成比" dataDxfId="241"/>
    <tableColumn id="16" xr3:uid="{77DA1015-5175-46F2-B116-96CB2BDDDE2B}" name="法人以外の団体／事業所数" dataCellStyle="桁区切り"/>
  </tableColumns>
  <tableStyleInfo name="TableStyleMedium9" showFirstColumn="0" showLastColumn="0" showRowStripes="1" showColumnStripes="0"/>
</table>
</file>

<file path=xl/tables/table1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4" xr:uid="{723C5292-44EB-4B99-9CA8-B0FAA49F4E7A}" name="S_TABLE_27225" displayName="S_TABLE_27225" ref="B47:I68" totalsRowShown="0">
  <autoFilter ref="B47:I68" xr:uid="{723C5292-44EB-4B99-9CA8-B0FAA49F4E7A}"/>
  <tableColumns count="8">
    <tableColumn id="9" xr3:uid="{8A917F42-E9A6-4B03-B350-C6D4F49EA3CE}" name="産業小分類上位２０"/>
    <tableColumn id="10" xr3:uid="{B6814651-03AE-4AB1-8675-789B4C314081}" name="総数／事業所数" dataCellStyle="桁区切り"/>
    <tableColumn id="11" xr3:uid="{BC25A4D0-3AC9-4F2E-B017-E98DB24D814C}" name="総数／構成比" dataDxfId="240"/>
    <tableColumn id="12" xr3:uid="{20997F7D-D532-4AF9-8CF4-8BE38ACF975F}" name="個人／事業所数" dataCellStyle="桁区切り"/>
    <tableColumn id="13" xr3:uid="{FF110CF4-1B69-4768-A0F5-C01610BF56DD}" name="個人／構成比" dataDxfId="239"/>
    <tableColumn id="14" xr3:uid="{1DCCF65C-41BD-4F02-8078-573E7CCBFAE8}" name="法人／事業所数" dataCellStyle="桁区切り"/>
    <tableColumn id="15" xr3:uid="{DE60BC33-7DF0-4DAA-9098-303203FB7557}" name="法人／構成比" dataDxfId="238"/>
    <tableColumn id="16" xr3:uid="{6AD9C5E3-7C10-4B86-B630-E53AA3D2E859}" name="法人以外の団体／事業所数" dataCellStyle="桁区切り"/>
  </tableColumns>
  <tableStyleInfo name="TableStyleMedium9" showFirstColumn="0" showLastColumn="0" showRowStripes="1" showColumnStripes="0"/>
</table>
</file>

<file path=xl/tables/table1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5" xr:uid="{FC5A1E03-A1C2-4B35-82C4-5E11DC504EF7}" name="LTBL_27226" displayName="LTBL_27226" ref="B4:I20" totalsRowCount="1">
  <autoFilter ref="B4:I19" xr:uid="{FC5A1E03-A1C2-4B35-82C4-5E11DC504EF7}"/>
  <tableColumns count="8">
    <tableColumn id="9" xr3:uid="{EB366C38-AE33-4FDD-AE5F-8ECE4158B93A}" name="産業大分類" totalsRowLabel="合計" totalsRowDxfId="237"/>
    <tableColumn id="10" xr3:uid="{1AA2CE64-E49B-44C9-9BB8-7E6756448E0D}" name="総数／事業所数" totalsRowFunction="custom" totalsRowDxfId="236" dataCellStyle="桁区切り" totalsRowCellStyle="桁区切り">
      <totalsRowFormula>SUM(LTBL_27226[総数／事業所数])</totalsRowFormula>
    </tableColumn>
    <tableColumn id="11" xr3:uid="{54CEDD16-FC72-4888-846D-B119EB77BA8A}" name="総数／構成比" dataDxfId="235"/>
    <tableColumn id="12" xr3:uid="{06920870-81F0-4B6A-A171-9AE23930BAE7}" name="個人／事業所数" totalsRowFunction="sum" totalsRowDxfId="234" dataCellStyle="桁区切り" totalsRowCellStyle="桁区切り"/>
    <tableColumn id="13" xr3:uid="{A147B606-DEED-472F-98BF-E6D9B0279379}" name="個人／構成比" dataDxfId="233"/>
    <tableColumn id="14" xr3:uid="{5D582A70-E4A7-4ABB-9E16-7E877DFF13E0}" name="法人／事業所数" totalsRowFunction="sum" totalsRowDxfId="232" dataCellStyle="桁区切り" totalsRowCellStyle="桁区切り"/>
    <tableColumn id="15" xr3:uid="{651B7C9E-F680-4B7F-877B-82CE1B0A4776}" name="法人／構成比" dataDxfId="231"/>
    <tableColumn id="16" xr3:uid="{CC5D3C6F-17C5-400B-85FC-0A55D5C27E35}" name="法人以外の団体／事業所数" totalsRowFunction="sum" totalsRowDxfId="230" dataCellStyle="桁区切り" totalsRowCellStyle="桁区切り"/>
  </tableColumns>
  <tableStyleInfo name="TableStyleMedium9" showFirstColumn="0" showLastColumn="0" showRowStripes="1" showColumnStripes="0"/>
</table>
</file>

<file path=xl/tables/table1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6" xr:uid="{AF5F297D-0207-4336-A5F8-648205CC7353}" name="M_TABLE_27226" displayName="M_TABLE_27226" ref="B23:I46" totalsRowShown="0">
  <autoFilter ref="B23:I46" xr:uid="{AF5F297D-0207-4336-A5F8-648205CC7353}"/>
  <tableColumns count="8">
    <tableColumn id="9" xr3:uid="{FAE4201B-0606-4D85-8CB0-16B69F38D4F8}" name="産業中分類上位２０"/>
    <tableColumn id="10" xr3:uid="{21142584-48E3-4B7E-8B87-64DBEC88D107}" name="総数／事業所数" dataCellStyle="桁区切り"/>
    <tableColumn id="11" xr3:uid="{940478CD-677C-410B-A478-FEC53A7CFAAE}" name="総数／構成比" dataDxfId="229"/>
    <tableColumn id="12" xr3:uid="{DBF41F90-3ACD-4C34-8085-B0B8A9457487}" name="個人／事業所数" dataCellStyle="桁区切り"/>
    <tableColumn id="13" xr3:uid="{BDACD601-9BBE-4A55-9C25-6BB3E1E55B42}" name="個人／構成比" dataDxfId="228"/>
    <tableColumn id="14" xr3:uid="{186D2236-49D3-414A-B91D-71F793DA0730}" name="法人／事業所数" dataCellStyle="桁区切り"/>
    <tableColumn id="15" xr3:uid="{D2DF6510-09F2-48A2-A727-3477D7420B28}" name="法人／構成比" dataDxfId="227"/>
    <tableColumn id="16" xr3:uid="{48CEFD2B-2E61-43E1-BF51-4B624827DD8F}" name="法人以外の団体／事業所数" dataCellStyle="桁区切り"/>
  </tableColumns>
  <tableStyleInfo name="TableStyleMedium9" showFirstColumn="0" showLastColumn="0" showRowStripes="1" showColumnStripes="0"/>
</table>
</file>

<file path=xl/tables/table1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7" xr:uid="{91A55A93-44D2-4A4D-9574-132839CFB015}" name="S_TABLE_27226" displayName="S_TABLE_27226" ref="B49:I70" totalsRowShown="0">
  <autoFilter ref="B49:I70" xr:uid="{91A55A93-44D2-4A4D-9574-132839CFB015}"/>
  <tableColumns count="8">
    <tableColumn id="9" xr3:uid="{A80C3DEB-95F1-4294-A44A-A44B6BA6B814}" name="産業小分類上位２０"/>
    <tableColumn id="10" xr3:uid="{145AFE6F-DD5F-45E0-8835-ABE48CF93409}" name="総数／事業所数" dataCellStyle="桁区切り"/>
    <tableColumn id="11" xr3:uid="{284204CA-2AA5-4CD8-B48D-36D74BA927A5}" name="総数／構成比" dataDxfId="226"/>
    <tableColumn id="12" xr3:uid="{56D54602-B373-4833-9E54-96C8F599B000}" name="個人／事業所数" dataCellStyle="桁区切り"/>
    <tableColumn id="13" xr3:uid="{9854574C-37F0-4777-8A92-BCEA8AA9D85E}" name="個人／構成比" dataDxfId="225"/>
    <tableColumn id="14" xr3:uid="{C5E402FA-01A2-4EB7-97FD-A98C33473EF1}" name="法人／事業所数" dataCellStyle="桁区切り"/>
    <tableColumn id="15" xr3:uid="{EF05D4D8-E3F1-4F24-9FF9-D5D4A361C3DA}" name="法人／構成比" dataDxfId="224"/>
    <tableColumn id="16" xr3:uid="{0B4C92C0-DEC0-40D7-AB10-6B60697E103D}" name="法人以外の団体／事業所数" dataCellStyle="桁区切り"/>
  </tableColumns>
  <tableStyleInfo name="TableStyleMedium9" showFirstColumn="0" showLastColumn="0" showRowStripes="1" showColumnStripes="0"/>
</table>
</file>

<file path=xl/tables/table1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8" xr:uid="{8436F887-CFE6-4F54-8F53-EC4B5AA069B8}" name="LTBL_27227" displayName="LTBL_27227" ref="B4:I20" totalsRowCount="1">
  <autoFilter ref="B4:I19" xr:uid="{8436F887-CFE6-4F54-8F53-EC4B5AA069B8}"/>
  <tableColumns count="8">
    <tableColumn id="9" xr3:uid="{A3F2CC4B-B7F0-4DCC-8A04-208BF0306DF2}" name="産業大分類" totalsRowLabel="合計" totalsRowDxfId="223"/>
    <tableColumn id="10" xr3:uid="{1AABAA16-DA54-4B68-B99E-3F2DAE15495E}" name="総数／事業所数" totalsRowFunction="custom" totalsRowDxfId="222" dataCellStyle="桁区切り" totalsRowCellStyle="桁区切り">
      <totalsRowFormula>SUM(LTBL_27227[総数／事業所数])</totalsRowFormula>
    </tableColumn>
    <tableColumn id="11" xr3:uid="{29CA3394-F52E-4621-B360-2BE8E9AF93B3}" name="総数／構成比" dataDxfId="221"/>
    <tableColumn id="12" xr3:uid="{8D8D703B-0D79-47D2-AAF1-9CEE5A96D51A}" name="個人／事業所数" totalsRowFunction="sum" totalsRowDxfId="220" dataCellStyle="桁区切り" totalsRowCellStyle="桁区切り"/>
    <tableColumn id="13" xr3:uid="{F2E0E092-43AE-425C-8E0A-DC5672CCAB01}" name="個人／構成比" dataDxfId="219"/>
    <tableColumn id="14" xr3:uid="{3182419E-F39F-4EC3-9BA8-DA149482E730}" name="法人／事業所数" totalsRowFunction="sum" totalsRowDxfId="218" dataCellStyle="桁区切り" totalsRowCellStyle="桁区切り"/>
    <tableColumn id="15" xr3:uid="{0C122F0A-F203-4B6E-8E64-3F0F95E669B8}" name="法人／構成比" dataDxfId="217"/>
    <tableColumn id="16" xr3:uid="{B00ED0E1-12C3-4E5F-A067-B77F91FCA9A4}" name="法人以外の団体／事業所数" totalsRowFunction="sum" totalsRowDxfId="216" dataCellStyle="桁区切り" totalsRowCellStyle="桁区切り"/>
  </tableColumns>
  <tableStyleInfo name="TableStyleMedium9" showFirstColumn="0" showLastColumn="0" showRowStripes="1" showColumnStripes="0"/>
</table>
</file>

<file path=xl/tables/table1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9" xr:uid="{97B1AE9D-FA57-4554-A2F5-B69D4CC937CA}" name="M_TABLE_27227" displayName="M_TABLE_27227" ref="B23:I43" totalsRowShown="0">
  <autoFilter ref="B23:I43" xr:uid="{97B1AE9D-FA57-4554-A2F5-B69D4CC937CA}"/>
  <tableColumns count="8">
    <tableColumn id="9" xr3:uid="{F12A4FA4-17A4-487E-AA98-4EA3FCB2D742}" name="産業中分類上位２０"/>
    <tableColumn id="10" xr3:uid="{0D225D03-B0B9-4169-931F-C77402D74BEB}" name="総数／事業所数" dataCellStyle="桁区切り"/>
    <tableColumn id="11" xr3:uid="{1BBB4519-AEC7-483E-BABB-F87F2252DE67}" name="総数／構成比" dataDxfId="215"/>
    <tableColumn id="12" xr3:uid="{48ADC959-6B40-4426-8BC9-FB5532C1794F}" name="個人／事業所数" dataCellStyle="桁区切り"/>
    <tableColumn id="13" xr3:uid="{F5C914AF-0E5F-4F1E-9705-0FE6413999D3}" name="個人／構成比" dataDxfId="214"/>
    <tableColumn id="14" xr3:uid="{0AC8C4A9-5291-42A1-A0C9-ABF82CA2D03B}" name="法人／事業所数" dataCellStyle="桁区切り"/>
    <tableColumn id="15" xr3:uid="{013F6411-92F2-4644-B986-1BDEB7ED3EC5}" name="法人／構成比" dataDxfId="213"/>
    <tableColumn id="16" xr3:uid="{5963B5CF-D34F-4535-B703-D97D59BAC999}" name="法人以外の団体／事業所数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220C733E-7B40-4DCB-969D-54B37E072AC2}" name="S_TABLE_27106" displayName="S_TABLE_27106" ref="B46:I66" totalsRowShown="0">
  <autoFilter ref="B46:I66" xr:uid="{220C733E-7B40-4DCB-969D-54B37E072AC2}"/>
  <tableColumns count="8">
    <tableColumn id="9" xr3:uid="{B5E9A553-B789-482D-81EA-52DF7AFFE861}" name="産業小分類上位２０"/>
    <tableColumn id="10" xr3:uid="{39AED2B7-3AAF-4F40-8046-5CC8DF8E1563}" name="総数／事業所数" dataCellStyle="桁区切り"/>
    <tableColumn id="11" xr3:uid="{84EAB49E-758C-407A-A94D-D89512C9297D}" name="総数／構成比" dataDxfId="968"/>
    <tableColumn id="12" xr3:uid="{385D5EFC-61F9-4749-B0DE-5F66030C89E8}" name="個人／事業所数" dataCellStyle="桁区切り"/>
    <tableColumn id="13" xr3:uid="{BDAC1EA9-A1FF-4C44-829A-BC9BA04BB24B}" name="個人／構成比" dataDxfId="967"/>
    <tableColumn id="14" xr3:uid="{01946603-0BCF-4E8E-8670-1E9B89EFA3A9}" name="法人／事業所数" dataCellStyle="桁区切り"/>
    <tableColumn id="15" xr3:uid="{81E41FFD-09C0-4B3D-AB11-4823946DE1B7}" name="法人／構成比" dataDxfId="966"/>
    <tableColumn id="16" xr3:uid="{36DBBBE1-E989-4EB1-AEC5-60A18EB2BDC5}" name="法人以外の団体／事業所数" dataCellStyle="桁区切り"/>
  </tableColumns>
  <tableStyleInfo name="TableStyleMedium9" showFirstColumn="0" showLastColumn="0" showRowStripes="1" showColumnStripes="0"/>
</table>
</file>

<file path=xl/tables/table1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0" xr:uid="{7A973773-E2F6-43FF-9B94-72006751E838}" name="S_TABLE_27227" displayName="S_TABLE_27227" ref="B46:I66" totalsRowShown="0">
  <autoFilter ref="B46:I66" xr:uid="{7A973773-E2F6-43FF-9B94-72006751E838}"/>
  <tableColumns count="8">
    <tableColumn id="9" xr3:uid="{9E35775B-97DF-4BB8-BEAB-E1B2DE758ADA}" name="産業小分類上位２０"/>
    <tableColumn id="10" xr3:uid="{2E0E6698-3AF3-4640-9953-6BDE241E6B6E}" name="総数／事業所数" dataCellStyle="桁区切り"/>
    <tableColumn id="11" xr3:uid="{4001AC98-607C-4728-85DC-EA2C8169CEBA}" name="総数／構成比" dataDxfId="212"/>
    <tableColumn id="12" xr3:uid="{6DDFE964-BBF6-40AC-B23C-446128AD01DF}" name="個人／事業所数" dataCellStyle="桁区切り"/>
    <tableColumn id="13" xr3:uid="{AC5C0869-CF65-4D43-A64F-474C958EB754}" name="個人／構成比" dataDxfId="211"/>
    <tableColumn id="14" xr3:uid="{B7F9C2C8-3E0C-42E7-A5B7-42AD32682258}" name="法人／事業所数" dataCellStyle="桁区切り"/>
    <tableColumn id="15" xr3:uid="{BEB6B295-3D5A-4CDF-94F3-06A8F279EAB2}" name="法人／構成比" dataDxfId="210"/>
    <tableColumn id="16" xr3:uid="{4359EDE1-C949-4006-9D2B-9D182B5AF99A}" name="法人以外の団体／事業所数" dataCellStyle="桁区切り"/>
  </tableColumns>
  <tableStyleInfo name="TableStyleMedium9" showFirstColumn="0" showLastColumn="0" showRowStripes="1" showColumnStripes="0"/>
</table>
</file>

<file path=xl/tables/table1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1" xr:uid="{7D5B5E45-7D8C-4AA4-9DCC-DABA9B923D0B}" name="LTBL_27228" displayName="LTBL_27228" ref="B4:I20" totalsRowCount="1">
  <autoFilter ref="B4:I19" xr:uid="{7D5B5E45-7D8C-4AA4-9DCC-DABA9B923D0B}"/>
  <tableColumns count="8">
    <tableColumn id="9" xr3:uid="{3EF46BFF-49DE-4EA8-B3E0-A17EEE21F427}" name="産業大分類" totalsRowLabel="合計" totalsRowDxfId="209"/>
    <tableColumn id="10" xr3:uid="{36CBA6B8-3EA8-4262-BA79-992D006DC374}" name="総数／事業所数" totalsRowFunction="custom" totalsRowDxfId="208" dataCellStyle="桁区切り" totalsRowCellStyle="桁区切り">
      <totalsRowFormula>SUM(LTBL_27228[総数／事業所数])</totalsRowFormula>
    </tableColumn>
    <tableColumn id="11" xr3:uid="{05D6ED73-256A-40E3-8EA9-45CF7B201B2C}" name="総数／構成比" dataDxfId="207"/>
    <tableColumn id="12" xr3:uid="{F2FB1039-0C94-4A64-B420-156C13420D42}" name="個人／事業所数" totalsRowFunction="sum" totalsRowDxfId="206" dataCellStyle="桁区切り" totalsRowCellStyle="桁区切り"/>
    <tableColumn id="13" xr3:uid="{E93A40DD-2E41-4846-8AAD-CFB1B8566316}" name="個人／構成比" dataDxfId="205"/>
    <tableColumn id="14" xr3:uid="{D710EA9E-4703-455D-BC20-E156EF4E5A13}" name="法人／事業所数" totalsRowFunction="sum" totalsRowDxfId="204" dataCellStyle="桁区切り" totalsRowCellStyle="桁区切り"/>
    <tableColumn id="15" xr3:uid="{AD4DFCDD-E54C-4BAE-A9AC-9468B08BF990}" name="法人／構成比" dataDxfId="203"/>
    <tableColumn id="16" xr3:uid="{F382FEE7-02D0-43C5-BB20-9A61970E6AE7}" name="法人以外の団体／事業所数" totalsRowFunction="sum" totalsRowDxfId="202" dataCellStyle="桁区切り" totalsRowCellStyle="桁区切り"/>
  </tableColumns>
  <tableStyleInfo name="TableStyleMedium9" showFirstColumn="0" showLastColumn="0" showRowStripes="1" showColumnStripes="0"/>
</table>
</file>

<file path=xl/tables/table1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2" xr:uid="{65F4C120-B055-4F9E-A450-E36DF30F5B7E}" name="M_TABLE_27228" displayName="M_TABLE_27228" ref="B23:I45" totalsRowShown="0">
  <autoFilter ref="B23:I45" xr:uid="{65F4C120-B055-4F9E-A450-E36DF30F5B7E}"/>
  <tableColumns count="8">
    <tableColumn id="9" xr3:uid="{900DC0D6-6659-4013-99A4-AA531F1A2597}" name="産業中分類上位２０"/>
    <tableColumn id="10" xr3:uid="{6D0972E7-E305-4102-BDA4-C10772B95F20}" name="総数／事業所数" dataCellStyle="桁区切り"/>
    <tableColumn id="11" xr3:uid="{E28223DF-CC60-4204-9CFF-DF8528A5FE27}" name="総数／構成比" dataDxfId="201"/>
    <tableColumn id="12" xr3:uid="{63C77FDE-F836-4168-9999-A5A5DE5A42D4}" name="個人／事業所数" dataCellStyle="桁区切り"/>
    <tableColumn id="13" xr3:uid="{739FE9A4-D02E-4DE7-8565-8658CA6C2C77}" name="個人／構成比" dataDxfId="200"/>
    <tableColumn id="14" xr3:uid="{0CB741DD-2421-4E40-9B5F-59380A28474E}" name="法人／事業所数" dataCellStyle="桁区切り"/>
    <tableColumn id="15" xr3:uid="{942C58A7-B59D-4D10-92C6-CEA102E5502C}" name="法人／構成比" dataDxfId="199"/>
    <tableColumn id="16" xr3:uid="{65BEAAF6-8965-4B86-BCFE-B875760394F4}" name="法人以外の団体／事業所数" dataCellStyle="桁区切り"/>
  </tableColumns>
  <tableStyleInfo name="TableStyleMedium9" showFirstColumn="0" showLastColumn="0" showRowStripes="1" showColumnStripes="0"/>
</table>
</file>

<file path=xl/tables/table1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3" xr:uid="{13E3CC09-2E8E-4E7B-9875-572AFD5DDB26}" name="S_TABLE_27228" displayName="S_TABLE_27228" ref="B48:I69" totalsRowShown="0">
  <autoFilter ref="B48:I69" xr:uid="{13E3CC09-2E8E-4E7B-9875-572AFD5DDB26}"/>
  <tableColumns count="8">
    <tableColumn id="9" xr3:uid="{B2DFA335-10D6-4BCE-994B-2C8E6B78EA85}" name="産業小分類上位２０"/>
    <tableColumn id="10" xr3:uid="{AFC24D85-CC02-478E-AF47-BBE027ACFEBF}" name="総数／事業所数" dataCellStyle="桁区切り"/>
    <tableColumn id="11" xr3:uid="{C61B7681-1A94-4B19-A980-28FE279A5B19}" name="総数／構成比" dataDxfId="198"/>
    <tableColumn id="12" xr3:uid="{E1C76DF4-A107-487F-95D1-CB9190891A56}" name="個人／事業所数" dataCellStyle="桁区切り"/>
    <tableColumn id="13" xr3:uid="{0C593E3C-A456-4D97-9EAD-60215F45831A}" name="個人／構成比" dataDxfId="197"/>
    <tableColumn id="14" xr3:uid="{5CBE593F-A814-45EE-B40F-1D6701493E27}" name="法人／事業所数" dataCellStyle="桁区切り"/>
    <tableColumn id="15" xr3:uid="{A2FB6548-6718-45F5-8C14-E0F5D8E08AC9}" name="法人／構成比" dataDxfId="196"/>
    <tableColumn id="16" xr3:uid="{D7EEDEF8-D1A6-48F0-94D1-A64FC21B03A7}" name="法人以外の団体／事業所数" dataCellStyle="桁区切り"/>
  </tableColumns>
  <tableStyleInfo name="TableStyleMedium9" showFirstColumn="0" showLastColumn="0" showRowStripes="1" showColumnStripes="0"/>
</table>
</file>

<file path=xl/tables/table1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4" xr:uid="{C3FB1F9B-AE89-4993-91C8-3ACCA5DE7B02}" name="LTBL_27229" displayName="LTBL_27229" ref="B4:I20" totalsRowCount="1">
  <autoFilter ref="B4:I19" xr:uid="{C3FB1F9B-AE89-4993-91C8-3ACCA5DE7B02}"/>
  <tableColumns count="8">
    <tableColumn id="9" xr3:uid="{3CB35CF9-AECD-4E4B-871B-876CD1603E86}" name="産業大分類" totalsRowLabel="合計" totalsRowDxfId="195"/>
    <tableColumn id="10" xr3:uid="{B6CE694C-2B0D-46EA-98AB-96673ADF25D1}" name="総数／事業所数" totalsRowFunction="custom" totalsRowDxfId="194" dataCellStyle="桁区切り" totalsRowCellStyle="桁区切り">
      <totalsRowFormula>SUM(LTBL_27229[総数／事業所数])</totalsRowFormula>
    </tableColumn>
    <tableColumn id="11" xr3:uid="{6266616C-3DF7-495A-B501-91E5118D2CEA}" name="総数／構成比" dataDxfId="193"/>
    <tableColumn id="12" xr3:uid="{D0BDBBA8-C0CB-4485-98C9-B04CDD8AA919}" name="個人／事業所数" totalsRowFunction="sum" totalsRowDxfId="192" dataCellStyle="桁区切り" totalsRowCellStyle="桁区切り"/>
    <tableColumn id="13" xr3:uid="{629EBD81-C7E5-45A1-AFD0-551140FAD01C}" name="個人／構成比" dataDxfId="191"/>
    <tableColumn id="14" xr3:uid="{5DFCB12A-76CF-44C3-90EA-F5E73FC906B4}" name="法人／事業所数" totalsRowFunction="sum" totalsRowDxfId="190" dataCellStyle="桁区切り" totalsRowCellStyle="桁区切り"/>
    <tableColumn id="15" xr3:uid="{B9852A82-C734-4461-A748-74C9AD894058}" name="法人／構成比" dataDxfId="189"/>
    <tableColumn id="16" xr3:uid="{8716BC98-E895-462C-BDDF-7B460685CE56}" name="法人以外の団体／事業所数" totalsRowFunction="sum" totalsRowDxfId="188" dataCellStyle="桁区切り" totalsRowCellStyle="桁区切り"/>
  </tableColumns>
  <tableStyleInfo name="TableStyleMedium9" showFirstColumn="0" showLastColumn="0" showRowStripes="1" showColumnStripes="0"/>
</table>
</file>

<file path=xl/tables/table1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5" xr:uid="{148F2A77-C39E-41DC-AE5E-E8C15B2EE2E5}" name="M_TABLE_27229" displayName="M_TABLE_27229" ref="B23:I43" totalsRowShown="0">
  <autoFilter ref="B23:I43" xr:uid="{148F2A77-C39E-41DC-AE5E-E8C15B2EE2E5}"/>
  <tableColumns count="8">
    <tableColumn id="9" xr3:uid="{20316C44-F4E4-4A83-8010-C90FDA63E627}" name="産業中分類上位２０"/>
    <tableColumn id="10" xr3:uid="{23F779F2-44CF-4050-B705-ACD18A016153}" name="総数／事業所数" dataCellStyle="桁区切り"/>
    <tableColumn id="11" xr3:uid="{A3FDB277-5E4F-4BD1-9C3F-50765798342C}" name="総数／構成比" dataDxfId="187"/>
    <tableColumn id="12" xr3:uid="{3C1A8E87-7958-4043-953B-AE7AF9B925FD}" name="個人／事業所数" dataCellStyle="桁区切り"/>
    <tableColumn id="13" xr3:uid="{37DB9549-224B-4801-9326-06DDA4B65D61}" name="個人／構成比" dataDxfId="186"/>
    <tableColumn id="14" xr3:uid="{81311B44-051E-4536-9BF3-861E166AA5D7}" name="法人／事業所数" dataCellStyle="桁区切り"/>
    <tableColumn id="15" xr3:uid="{6036F2F2-F16B-4C01-8B9D-9F8D369A67AB}" name="法人／構成比" dataDxfId="185"/>
    <tableColumn id="16" xr3:uid="{09B75BB4-BEE6-4524-BA2A-FB9629CE81A2}" name="法人以外の団体／事業所数" dataCellStyle="桁区切り"/>
  </tableColumns>
  <tableStyleInfo name="TableStyleMedium9" showFirstColumn="0" showLastColumn="0" showRowStripes="1" showColumnStripes="0"/>
</table>
</file>

<file path=xl/tables/table1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6" xr:uid="{19D80C50-96CF-4514-94F7-5A53D0A1B7CE}" name="S_TABLE_27229" displayName="S_TABLE_27229" ref="B46:I66" totalsRowShown="0">
  <autoFilter ref="B46:I66" xr:uid="{19D80C50-96CF-4514-94F7-5A53D0A1B7CE}"/>
  <tableColumns count="8">
    <tableColumn id="9" xr3:uid="{B1CC70BF-3121-4162-9C04-F4A4501F7A26}" name="産業小分類上位２０"/>
    <tableColumn id="10" xr3:uid="{BC987707-F301-43C0-BB59-E7D87BE4426B}" name="総数／事業所数" dataCellStyle="桁区切り"/>
    <tableColumn id="11" xr3:uid="{0876FD96-E81A-46B8-A5CC-9A9B74D7D3BE}" name="総数／構成比" dataDxfId="184"/>
    <tableColumn id="12" xr3:uid="{F4A73861-0E89-42C6-8FEB-3BF9B2C3468B}" name="個人／事業所数" dataCellStyle="桁区切り"/>
    <tableColumn id="13" xr3:uid="{5CB2547E-A216-48DF-8797-4D24395DB520}" name="個人／構成比" dataDxfId="183"/>
    <tableColumn id="14" xr3:uid="{D4124F23-9FF1-44AD-82E3-FC689F674AD1}" name="法人／事業所数" dataCellStyle="桁区切り"/>
    <tableColumn id="15" xr3:uid="{154008EC-9910-4BB2-AE0D-F0AE3A8AC4A3}" name="法人／構成比" dataDxfId="182"/>
    <tableColumn id="16" xr3:uid="{1C711CC9-6C26-4F72-B61A-1864C715458D}" name="法人以外の団体／事業所数" dataCellStyle="桁区切り"/>
  </tableColumns>
  <tableStyleInfo name="TableStyleMedium9" showFirstColumn="0" showLastColumn="0" showRowStripes="1" showColumnStripes="0"/>
</table>
</file>

<file path=xl/tables/table1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7" xr:uid="{2FD50748-FAD2-4858-A489-3DE9A2AD91F2}" name="LTBL_27230" displayName="LTBL_27230" ref="B4:I20" totalsRowCount="1">
  <autoFilter ref="B4:I19" xr:uid="{2FD50748-FAD2-4858-A489-3DE9A2AD91F2}"/>
  <tableColumns count="8">
    <tableColumn id="9" xr3:uid="{C711E77A-2BDA-42E8-B6F2-C8EE0A72E2F5}" name="産業大分類" totalsRowLabel="合計" totalsRowDxfId="181"/>
    <tableColumn id="10" xr3:uid="{66F0BAB7-0F21-41EC-B425-7261CD243617}" name="総数／事業所数" totalsRowFunction="custom" totalsRowDxfId="180" dataCellStyle="桁区切り" totalsRowCellStyle="桁区切り">
      <totalsRowFormula>SUM(LTBL_27230[総数／事業所数])</totalsRowFormula>
    </tableColumn>
    <tableColumn id="11" xr3:uid="{4D95F942-CE49-403C-8FCC-FFAFA9A51E73}" name="総数／構成比" dataDxfId="179"/>
    <tableColumn id="12" xr3:uid="{A522A214-7111-4299-BD10-884438CA8FCB}" name="個人／事業所数" totalsRowFunction="sum" totalsRowDxfId="178" dataCellStyle="桁区切り" totalsRowCellStyle="桁区切り"/>
    <tableColumn id="13" xr3:uid="{499AD609-F158-48FB-AA0D-55FC3336A3A7}" name="個人／構成比" dataDxfId="177"/>
    <tableColumn id="14" xr3:uid="{90DA78DB-3AB6-4371-AF4E-4A727314ADA2}" name="法人／事業所数" totalsRowFunction="sum" totalsRowDxfId="176" dataCellStyle="桁区切り" totalsRowCellStyle="桁区切り"/>
    <tableColumn id="15" xr3:uid="{DB683B53-1D10-45FB-8E55-23A00125C63A}" name="法人／構成比" dataDxfId="175"/>
    <tableColumn id="16" xr3:uid="{63CCD610-046D-4865-A8FD-EEAE5A268262}" name="法人以外の団体／事業所数" totalsRowFunction="sum" totalsRowDxfId="174" dataCellStyle="桁区切り" totalsRowCellStyle="桁区切り"/>
  </tableColumns>
  <tableStyleInfo name="TableStyleMedium9" showFirstColumn="0" showLastColumn="0" showRowStripes="1" showColumnStripes="0"/>
</table>
</file>

<file path=xl/tables/table1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8" xr:uid="{E6CACF87-DD64-4071-8BF7-C319B2F982BF}" name="M_TABLE_27230" displayName="M_TABLE_27230" ref="B23:I43" totalsRowShown="0">
  <autoFilter ref="B23:I43" xr:uid="{E6CACF87-DD64-4071-8BF7-C319B2F982BF}"/>
  <tableColumns count="8">
    <tableColumn id="9" xr3:uid="{87350493-6854-4567-BBA0-1F5313AF79DE}" name="産業中分類上位２０"/>
    <tableColumn id="10" xr3:uid="{BE7BAC81-799B-4ECD-A981-98F1B71188F4}" name="総数／事業所数" dataCellStyle="桁区切り"/>
    <tableColumn id="11" xr3:uid="{12FF2B9E-1FCC-48AF-A0D7-B4A5144986BA}" name="総数／構成比" dataDxfId="173"/>
    <tableColumn id="12" xr3:uid="{BAC3227E-4A53-4FED-8015-BA7D5C617501}" name="個人／事業所数" dataCellStyle="桁区切り"/>
    <tableColumn id="13" xr3:uid="{602EBEF7-1622-4DB8-9D30-A7DC24795740}" name="個人／構成比" dataDxfId="172"/>
    <tableColumn id="14" xr3:uid="{529E6B79-A876-46E7-8F76-EDBE48417F98}" name="法人／事業所数" dataCellStyle="桁区切り"/>
    <tableColumn id="15" xr3:uid="{D9B26B83-6E6E-4193-ABCF-FBDB5A0C8FF2}" name="法人／構成比" dataDxfId="171"/>
    <tableColumn id="16" xr3:uid="{757EA4C7-676E-4652-B017-51B87B95389A}" name="法人以外の団体／事業所数" dataCellStyle="桁区切り"/>
  </tableColumns>
  <tableStyleInfo name="TableStyleMedium9" showFirstColumn="0" showLastColumn="0" showRowStripes="1" showColumnStripes="0"/>
</table>
</file>

<file path=xl/tables/table1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9" xr:uid="{11A11708-002E-43F2-9AD8-7C95955C1207}" name="S_TABLE_27230" displayName="S_TABLE_27230" ref="B46:I67" totalsRowShown="0">
  <autoFilter ref="B46:I67" xr:uid="{11A11708-002E-43F2-9AD8-7C95955C1207}"/>
  <tableColumns count="8">
    <tableColumn id="9" xr3:uid="{C30259FC-A45F-409A-8F6E-93C19C0FC20F}" name="産業小分類上位２０"/>
    <tableColumn id="10" xr3:uid="{A06889C1-0395-4A17-B356-CC1BCD5DD884}" name="総数／事業所数" dataCellStyle="桁区切り"/>
    <tableColumn id="11" xr3:uid="{E2477785-063E-4AA4-97D7-5D6E42808A6F}" name="総数／構成比" dataDxfId="170"/>
    <tableColumn id="12" xr3:uid="{D6CBEF8B-24AC-498D-ABDD-F7AC968CCF43}" name="個人／事業所数" dataCellStyle="桁区切り"/>
    <tableColumn id="13" xr3:uid="{420AF9E4-BED5-44A3-BEA3-BA57800DF2A9}" name="個人／構成比" dataDxfId="169"/>
    <tableColumn id="14" xr3:uid="{D273C5BF-A1FD-4150-B37C-7EFF5D2F1B43}" name="法人／事業所数" dataCellStyle="桁区切り"/>
    <tableColumn id="15" xr3:uid="{4311FD2D-3C64-4F08-81C6-96D06137E88A}" name="法人／構成比" dataDxfId="168"/>
    <tableColumn id="16" xr3:uid="{167BE707-E6D8-473A-B907-5760DA9938C1}" name="法人以外の団体／事業所数" dataCellStyle="桁区切り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F3B2267A-D9E4-4D67-8D28-067826ECF0D7}" name="LTBL_27107" displayName="LTBL_27107" ref="B4:I20" totalsRowCount="1">
  <autoFilter ref="B4:I19" xr:uid="{F3B2267A-D9E4-4D67-8D28-067826ECF0D7}"/>
  <tableColumns count="8">
    <tableColumn id="9" xr3:uid="{30F27CF9-2BAC-4C20-89D6-B510EA9F393E}" name="産業大分類" totalsRowLabel="合計" totalsRowDxfId="965"/>
    <tableColumn id="10" xr3:uid="{6F0D7E38-EB84-4951-960B-E4A950CB16E6}" name="総数／事業所数" totalsRowFunction="custom" totalsRowDxfId="964" dataCellStyle="桁区切り" totalsRowCellStyle="桁区切り">
      <totalsRowFormula>SUM(LTBL_27107[総数／事業所数])</totalsRowFormula>
    </tableColumn>
    <tableColumn id="11" xr3:uid="{17943AEB-CDF7-4A8A-AF86-07390FDB3BA5}" name="総数／構成比" dataDxfId="963"/>
    <tableColumn id="12" xr3:uid="{FED0CA7B-2B29-49AA-A462-168746C71457}" name="個人／事業所数" totalsRowFunction="sum" totalsRowDxfId="962" dataCellStyle="桁区切り" totalsRowCellStyle="桁区切り"/>
    <tableColumn id="13" xr3:uid="{F6F77D72-3E6E-4555-9C50-320990A97B4D}" name="個人／構成比" dataDxfId="961"/>
    <tableColumn id="14" xr3:uid="{B0467AF1-040E-4804-BB9A-BB5334AFF932}" name="法人／事業所数" totalsRowFunction="sum" totalsRowDxfId="960" dataCellStyle="桁区切り" totalsRowCellStyle="桁区切り"/>
    <tableColumn id="15" xr3:uid="{0D5CFB1B-4F8D-40C2-8552-46DD9AB053A1}" name="法人／構成比" dataDxfId="959"/>
    <tableColumn id="16" xr3:uid="{559F4563-96D6-4846-A0A4-4663F189BF13}" name="法人以外の団体／事業所数" totalsRowFunction="sum" totalsRowDxfId="958" dataCellStyle="桁区切り" totalsRowCellStyle="桁区切り"/>
  </tableColumns>
  <tableStyleInfo name="TableStyleMedium9" showFirstColumn="0" showLastColumn="0" showRowStripes="1" showColumnStripes="0"/>
</table>
</file>

<file path=xl/tables/table1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0" xr:uid="{3E16DD87-C9FB-4124-AD3D-4F7AAE83C5EA}" name="LTBL_27231" displayName="LTBL_27231" ref="B4:I20" totalsRowCount="1">
  <autoFilter ref="B4:I19" xr:uid="{3E16DD87-C9FB-4124-AD3D-4F7AAE83C5EA}"/>
  <tableColumns count="8">
    <tableColumn id="9" xr3:uid="{4C0BE99E-FFFF-4B50-A351-4D80C1C7654C}" name="産業大分類" totalsRowLabel="合計" totalsRowDxfId="167"/>
    <tableColumn id="10" xr3:uid="{68158CE0-B1E1-484A-AC72-9B30BE49EAD4}" name="総数／事業所数" totalsRowFunction="custom" totalsRowDxfId="166" dataCellStyle="桁区切り" totalsRowCellStyle="桁区切り">
      <totalsRowFormula>SUM(LTBL_27231[総数／事業所数])</totalsRowFormula>
    </tableColumn>
    <tableColumn id="11" xr3:uid="{9783DC6E-6D97-4D17-B6DD-711552EA6A0F}" name="総数／構成比" dataDxfId="165"/>
    <tableColumn id="12" xr3:uid="{8C51A81E-10C0-4D70-AE00-85255B9D7EC0}" name="個人／事業所数" totalsRowFunction="sum" totalsRowDxfId="164" dataCellStyle="桁区切り" totalsRowCellStyle="桁区切り"/>
    <tableColumn id="13" xr3:uid="{A3AE5289-7EBD-4548-8EF8-234EE983FC3B}" name="個人／構成比" dataDxfId="163"/>
    <tableColumn id="14" xr3:uid="{95D92E90-6488-418E-AF78-055050560347}" name="法人／事業所数" totalsRowFunction="sum" totalsRowDxfId="162" dataCellStyle="桁区切り" totalsRowCellStyle="桁区切り"/>
    <tableColumn id="15" xr3:uid="{9700AACC-9EB7-4C83-80AA-E0FA0D8E560A}" name="法人／構成比" dataDxfId="161"/>
    <tableColumn id="16" xr3:uid="{8E127579-7FF1-40D6-AB5D-46A3E819E3CC}" name="法人以外の団体／事業所数" totalsRowFunction="sum" totalsRowDxfId="160" dataCellStyle="桁区切り" totalsRowCellStyle="桁区切り"/>
  </tableColumns>
  <tableStyleInfo name="TableStyleMedium9" showFirstColumn="0" showLastColumn="0" showRowStripes="1" showColumnStripes="0"/>
</table>
</file>

<file path=xl/tables/table1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1" xr:uid="{25B070E0-F646-4EAE-91B7-008AF924404B}" name="M_TABLE_27231" displayName="M_TABLE_27231" ref="B23:I44" totalsRowShown="0">
  <autoFilter ref="B23:I44" xr:uid="{25B070E0-F646-4EAE-91B7-008AF924404B}"/>
  <tableColumns count="8">
    <tableColumn id="9" xr3:uid="{9EC13752-AC5E-4810-84DB-421FA462BC1D}" name="産業中分類上位２０"/>
    <tableColumn id="10" xr3:uid="{0DDA1A0F-A9E5-4149-AF6F-0CCBD0374ACC}" name="総数／事業所数" dataCellStyle="桁区切り"/>
    <tableColumn id="11" xr3:uid="{3FB61385-C3DB-41B8-B82A-E7E8F02C5953}" name="総数／構成比" dataDxfId="159"/>
    <tableColumn id="12" xr3:uid="{7E58A360-A9FA-40B4-9B5F-6CA13F2E7C75}" name="個人／事業所数" dataCellStyle="桁区切り"/>
    <tableColumn id="13" xr3:uid="{74487A6C-A433-4E79-9C12-66233C689B80}" name="個人／構成比" dataDxfId="158"/>
    <tableColumn id="14" xr3:uid="{8B05F3D0-1B17-4DFC-AEFE-B984EE625B23}" name="法人／事業所数" dataCellStyle="桁区切り"/>
    <tableColumn id="15" xr3:uid="{DBFE16B2-96AE-4BC0-A0BA-44F3C5CB1E84}" name="法人／構成比" dataDxfId="157"/>
    <tableColumn id="16" xr3:uid="{B820AC60-1C89-4F7B-9C16-8E802986CA4F}" name="法人以外の団体／事業所数" dataCellStyle="桁区切り"/>
  </tableColumns>
  <tableStyleInfo name="TableStyleMedium9" showFirstColumn="0" showLastColumn="0" showRowStripes="1" showColumnStripes="0"/>
</table>
</file>

<file path=xl/tables/table1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2" xr:uid="{9A39B5BE-39DB-423B-AF9D-E64540238828}" name="S_TABLE_27231" displayName="S_TABLE_27231" ref="B47:I70" totalsRowShown="0">
  <autoFilter ref="B47:I70" xr:uid="{9A39B5BE-39DB-423B-AF9D-E64540238828}"/>
  <tableColumns count="8">
    <tableColumn id="9" xr3:uid="{AD8E6E30-592D-4D8E-90C8-C5DA3F5B21F4}" name="産業小分類上位２０"/>
    <tableColumn id="10" xr3:uid="{5D0C1B68-D4A1-4373-8230-B9EE1091588F}" name="総数／事業所数" dataCellStyle="桁区切り"/>
    <tableColumn id="11" xr3:uid="{7FEC38B5-AE02-4901-A422-1ED87B903FD0}" name="総数／構成比" dataDxfId="156"/>
    <tableColumn id="12" xr3:uid="{A0F6F2D0-E92A-4531-9801-2D23C36766E0}" name="個人／事業所数" dataCellStyle="桁区切り"/>
    <tableColumn id="13" xr3:uid="{E19C0D0D-AE68-49C0-8F2B-5C19FE728B7B}" name="個人／構成比" dataDxfId="155"/>
    <tableColumn id="14" xr3:uid="{CEB79261-6AB7-40B8-8A44-FDF0E3E4AD39}" name="法人／事業所数" dataCellStyle="桁区切り"/>
    <tableColumn id="15" xr3:uid="{420CB1A8-E679-477B-B664-7665A58F3000}" name="法人／構成比" dataDxfId="154"/>
    <tableColumn id="16" xr3:uid="{2F1F137D-794C-4BB2-9C62-30852EE6E736}" name="法人以外の団体／事業所数" dataCellStyle="桁区切り"/>
  </tableColumns>
  <tableStyleInfo name="TableStyleMedium9" showFirstColumn="0" showLastColumn="0" showRowStripes="1" showColumnStripes="0"/>
</table>
</file>

<file path=xl/tables/table1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3" xr:uid="{400DDFA2-B16E-4950-AF96-07AC282A731A}" name="LTBL_27232" displayName="LTBL_27232" ref="B4:I20" totalsRowCount="1">
  <autoFilter ref="B4:I19" xr:uid="{400DDFA2-B16E-4950-AF96-07AC282A731A}"/>
  <tableColumns count="8">
    <tableColumn id="9" xr3:uid="{6269FA69-BC2F-49FC-BA19-D03717E0DA16}" name="産業大分類" totalsRowLabel="合計" totalsRowDxfId="153"/>
    <tableColumn id="10" xr3:uid="{9C844721-A456-4594-8F21-79B12CE75B05}" name="総数／事業所数" totalsRowFunction="custom" totalsRowDxfId="152" dataCellStyle="桁区切り" totalsRowCellStyle="桁区切り">
      <totalsRowFormula>SUM(LTBL_27232[総数／事業所数])</totalsRowFormula>
    </tableColumn>
    <tableColumn id="11" xr3:uid="{CC8E9CFA-682A-452C-9C25-9D84B67A37DF}" name="総数／構成比" dataDxfId="151"/>
    <tableColumn id="12" xr3:uid="{124D27E0-181D-4D08-890B-27061A48F141}" name="個人／事業所数" totalsRowFunction="sum" totalsRowDxfId="150" dataCellStyle="桁区切り" totalsRowCellStyle="桁区切り"/>
    <tableColumn id="13" xr3:uid="{AC688F90-81AE-4CE6-ADD6-119D692E6A71}" name="個人／構成比" dataDxfId="149"/>
    <tableColumn id="14" xr3:uid="{3CA7F623-4904-4E30-AA6B-38B6146C6AF3}" name="法人／事業所数" totalsRowFunction="sum" totalsRowDxfId="148" dataCellStyle="桁区切り" totalsRowCellStyle="桁区切り"/>
    <tableColumn id="15" xr3:uid="{38E8F593-D343-4D45-AA95-CF38B95EA6EA}" name="法人／構成比" dataDxfId="147"/>
    <tableColumn id="16" xr3:uid="{E6F91A15-A917-41B3-A293-9705B3776CE1}" name="法人以外の団体／事業所数" totalsRowFunction="sum" totalsRowDxfId="146" dataCellStyle="桁区切り" totalsRowCellStyle="桁区切り"/>
  </tableColumns>
  <tableStyleInfo name="TableStyleMedium9" showFirstColumn="0" showLastColumn="0" showRowStripes="1" showColumnStripes="0"/>
</table>
</file>

<file path=xl/tables/table1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4" xr:uid="{D7F899BA-8B28-4454-8069-DFCA402A35BF}" name="M_TABLE_27232" displayName="M_TABLE_27232" ref="B23:I43" totalsRowShown="0">
  <autoFilter ref="B23:I43" xr:uid="{D7F899BA-8B28-4454-8069-DFCA402A35BF}"/>
  <tableColumns count="8">
    <tableColumn id="9" xr3:uid="{B3D32DB4-0D0E-43C9-AE5A-12A750B3C047}" name="産業中分類上位２０"/>
    <tableColumn id="10" xr3:uid="{CCF40931-49D7-4C39-820C-4E2333DDD59E}" name="総数／事業所数" dataCellStyle="桁区切り"/>
    <tableColumn id="11" xr3:uid="{7F46D50D-AD9B-4DBD-99CE-06020A6B62D0}" name="総数／構成比" dataDxfId="145"/>
    <tableColumn id="12" xr3:uid="{2792B589-DDFC-4BDE-9CA1-235F2EB9BCC7}" name="個人／事業所数" dataCellStyle="桁区切り"/>
    <tableColumn id="13" xr3:uid="{E28BA296-D6E8-426F-BB66-665474C74F22}" name="個人／構成比" dataDxfId="144"/>
    <tableColumn id="14" xr3:uid="{E0FA7D2A-D027-4224-8BD1-79402973619B}" name="法人／事業所数" dataCellStyle="桁区切り"/>
    <tableColumn id="15" xr3:uid="{791F4F2F-4774-4D39-B5AE-FC5E7633C5C9}" name="法人／構成比" dataDxfId="143"/>
    <tableColumn id="16" xr3:uid="{892066C1-3BF1-4458-9851-6A6094E28E15}" name="法人以外の団体／事業所数" dataCellStyle="桁区切り"/>
  </tableColumns>
  <tableStyleInfo name="TableStyleMedium9" showFirstColumn="0" showLastColumn="0" showRowStripes="1" showColumnStripes="0"/>
</table>
</file>

<file path=xl/tables/table1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5" xr:uid="{C092DC37-1DAD-4AAD-873E-0C4267DA7F51}" name="S_TABLE_27232" displayName="S_TABLE_27232" ref="B46:I68" totalsRowShown="0">
  <autoFilter ref="B46:I68" xr:uid="{C092DC37-1DAD-4AAD-873E-0C4267DA7F51}"/>
  <tableColumns count="8">
    <tableColumn id="9" xr3:uid="{15B58908-9FFC-43DA-817C-282FE44D92D9}" name="産業小分類上位２０"/>
    <tableColumn id="10" xr3:uid="{A123A977-0386-402F-894E-B23C2E1163FE}" name="総数／事業所数" dataCellStyle="桁区切り"/>
    <tableColumn id="11" xr3:uid="{A52D4EDF-7139-462A-8118-7256A1619E5C}" name="総数／構成比" dataDxfId="142"/>
    <tableColumn id="12" xr3:uid="{0F01DB70-1159-4A22-947C-7951983F4DB7}" name="個人／事業所数" dataCellStyle="桁区切り"/>
    <tableColumn id="13" xr3:uid="{E84EA05F-0469-4B90-AB4B-0F66F95D7D30}" name="個人／構成比" dataDxfId="141"/>
    <tableColumn id="14" xr3:uid="{280F9B1E-3FF1-48DE-B9AA-5FF7E6EC1388}" name="法人／事業所数" dataCellStyle="桁区切り"/>
    <tableColumn id="15" xr3:uid="{50832D8A-2378-4789-9FB1-82129314D510}" name="法人／構成比" dataDxfId="140"/>
    <tableColumn id="16" xr3:uid="{16EA3D7D-F0AD-4688-98A5-CEF6D575B3FE}" name="法人以外の団体／事業所数" dataCellStyle="桁区切り"/>
  </tableColumns>
  <tableStyleInfo name="TableStyleMedium9" showFirstColumn="0" showLastColumn="0" showRowStripes="1" showColumnStripes="0"/>
</table>
</file>

<file path=xl/tables/table1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6" xr:uid="{3597ED40-3E71-41D2-AFBF-9152A58348CB}" name="LTBL_27301" displayName="LTBL_27301" ref="B4:I20" totalsRowCount="1">
  <autoFilter ref="B4:I19" xr:uid="{3597ED40-3E71-41D2-AFBF-9152A58348CB}"/>
  <tableColumns count="8">
    <tableColumn id="9" xr3:uid="{1894E1F8-F778-4983-A994-6049AE57C059}" name="産業大分類" totalsRowLabel="合計" totalsRowDxfId="139"/>
    <tableColumn id="10" xr3:uid="{B84944C0-79EF-48BF-B36B-8284A0497AD5}" name="総数／事業所数" totalsRowFunction="custom" totalsRowDxfId="138" dataCellStyle="桁区切り" totalsRowCellStyle="桁区切り">
      <totalsRowFormula>SUM(LTBL_27301[総数／事業所数])</totalsRowFormula>
    </tableColumn>
    <tableColumn id="11" xr3:uid="{62E4349F-1526-4FEF-BED9-33583F0F9421}" name="総数／構成比" dataDxfId="137"/>
    <tableColumn id="12" xr3:uid="{8025F544-8C7A-43E3-8AB0-2E274BA52DFD}" name="個人／事業所数" totalsRowFunction="sum" totalsRowDxfId="136" dataCellStyle="桁区切り" totalsRowCellStyle="桁区切り"/>
    <tableColumn id="13" xr3:uid="{6CE17479-5C4D-409B-B717-DFA97AF3DC5F}" name="個人／構成比" dataDxfId="135"/>
    <tableColumn id="14" xr3:uid="{AF8AB242-A1CD-4F32-B303-84A830D019D1}" name="法人／事業所数" totalsRowFunction="sum" totalsRowDxfId="134" dataCellStyle="桁区切り" totalsRowCellStyle="桁区切り"/>
    <tableColumn id="15" xr3:uid="{3E6AE269-9055-4EBE-999C-EB83277504D6}" name="法人／構成比" dataDxfId="133"/>
    <tableColumn id="16" xr3:uid="{D4AFCA08-341C-4CC1-B401-FEAC7B417303}" name="法人以外の団体／事業所数" totalsRowFunction="sum" totalsRowDxfId="132" dataCellStyle="桁区切り" totalsRowCellStyle="桁区切り"/>
  </tableColumns>
  <tableStyleInfo name="TableStyleMedium9" showFirstColumn="0" showLastColumn="0" showRowStripes="1" showColumnStripes="0"/>
</table>
</file>

<file path=xl/tables/table1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7" xr:uid="{7E38C505-55BD-44F2-8EBF-982CC1C78742}" name="M_TABLE_27301" displayName="M_TABLE_27301" ref="B23:I45" totalsRowShown="0">
  <autoFilter ref="B23:I45" xr:uid="{7E38C505-55BD-44F2-8EBF-982CC1C78742}"/>
  <tableColumns count="8">
    <tableColumn id="9" xr3:uid="{7562262D-7D9E-4A85-92F4-12992D3887FF}" name="産業中分類上位２０"/>
    <tableColumn id="10" xr3:uid="{C862BE04-EBCB-4CDB-A14D-BAB3EC837677}" name="総数／事業所数" dataCellStyle="桁区切り"/>
    <tableColumn id="11" xr3:uid="{958AA0F4-360B-4135-938A-ECA6E00A2822}" name="総数／構成比" dataDxfId="131"/>
    <tableColumn id="12" xr3:uid="{472BC995-B1B9-41FC-B1F1-CCE92C4944EF}" name="個人／事業所数" dataCellStyle="桁区切り"/>
    <tableColumn id="13" xr3:uid="{A836B270-79A0-43F4-BC00-6669A32323B7}" name="個人／構成比" dataDxfId="130"/>
    <tableColumn id="14" xr3:uid="{475D57D7-CAE9-46CF-ABA5-00A3709B631A}" name="法人／事業所数" dataCellStyle="桁区切り"/>
    <tableColumn id="15" xr3:uid="{546E1B6F-76C9-4859-88ED-5AAD7644A6BA}" name="法人／構成比" dataDxfId="129"/>
    <tableColumn id="16" xr3:uid="{3CAC6349-D166-4228-A294-A2ED9CB72CF5}" name="法人以外の団体／事業所数" dataCellStyle="桁区切り"/>
  </tableColumns>
  <tableStyleInfo name="TableStyleMedium9" showFirstColumn="0" showLastColumn="0" showRowStripes="1" showColumnStripes="0"/>
</table>
</file>

<file path=xl/tables/table1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8" xr:uid="{D0C6F729-6B63-4748-A41A-6E67E229EB68}" name="S_TABLE_27301" displayName="S_TABLE_27301" ref="B48:I71" totalsRowShown="0">
  <autoFilter ref="B48:I71" xr:uid="{D0C6F729-6B63-4748-A41A-6E67E229EB68}"/>
  <tableColumns count="8">
    <tableColumn id="9" xr3:uid="{DCD38BAE-A82F-4615-ABFA-315DFC907991}" name="産業小分類上位２０"/>
    <tableColumn id="10" xr3:uid="{8B7F79E1-9513-4371-BD6D-928404E46DB6}" name="総数／事業所数" dataCellStyle="桁区切り"/>
    <tableColumn id="11" xr3:uid="{091DA82C-6CCF-4665-A5DD-9A89CDF87E41}" name="総数／構成比" dataDxfId="128"/>
    <tableColumn id="12" xr3:uid="{DD2F8C0B-E67F-4706-9DB3-3C23A7ECCAD8}" name="個人／事業所数" dataCellStyle="桁区切り"/>
    <tableColumn id="13" xr3:uid="{5DE38F0A-2B07-4249-965E-BA5E606BB432}" name="個人／構成比" dataDxfId="127"/>
    <tableColumn id="14" xr3:uid="{67A8292E-EE38-4FDE-82C8-0645D993CDF7}" name="法人／事業所数" dataCellStyle="桁区切り"/>
    <tableColumn id="15" xr3:uid="{12DBDE98-95D9-46CF-BEF6-39846BDFE2FA}" name="法人／構成比" dataDxfId="126"/>
    <tableColumn id="16" xr3:uid="{F3743E63-6C5D-427A-8AE3-8F760950CCD9}" name="法人以外の団体／事業所数" dataCellStyle="桁区切り"/>
  </tableColumns>
  <tableStyleInfo name="TableStyleMedium9" showFirstColumn="0" showLastColumn="0" showRowStripes="1" showColumnStripes="0"/>
</table>
</file>

<file path=xl/tables/table1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9" xr:uid="{99A69D11-2B99-4F99-ACCA-AE6AADD46BB2}" name="LTBL_27321" displayName="LTBL_27321" ref="B4:I20" totalsRowCount="1">
  <autoFilter ref="B4:I19" xr:uid="{99A69D11-2B99-4F99-ACCA-AE6AADD46BB2}"/>
  <tableColumns count="8">
    <tableColumn id="9" xr3:uid="{B780B4BC-C279-434C-B2E7-E81ABBA93641}" name="産業大分類" totalsRowLabel="合計" totalsRowDxfId="125"/>
    <tableColumn id="10" xr3:uid="{80C913C5-9E4C-4896-ABDF-2DFF9630F020}" name="総数／事業所数" totalsRowFunction="custom" totalsRowDxfId="124" dataCellStyle="桁区切り" totalsRowCellStyle="桁区切り">
      <totalsRowFormula>SUM(LTBL_27321[総数／事業所数])</totalsRowFormula>
    </tableColumn>
    <tableColumn id="11" xr3:uid="{52FED298-9345-455C-95AA-15D0C881E419}" name="総数／構成比" dataDxfId="123"/>
    <tableColumn id="12" xr3:uid="{16E955B6-D934-4EAC-8DC4-91E7C41E72F4}" name="個人／事業所数" totalsRowFunction="sum" totalsRowDxfId="122" dataCellStyle="桁区切り" totalsRowCellStyle="桁区切り"/>
    <tableColumn id="13" xr3:uid="{65635DC1-5214-45E1-AF5E-A25700E4C6D4}" name="個人／構成比" dataDxfId="121"/>
    <tableColumn id="14" xr3:uid="{72E519C3-B9DB-432F-B9CB-E8261B37508C}" name="法人／事業所数" totalsRowFunction="sum" totalsRowDxfId="120" dataCellStyle="桁区切り" totalsRowCellStyle="桁区切り"/>
    <tableColumn id="15" xr3:uid="{0C135E88-7762-46D7-B024-0F0CC34A1386}" name="法人／構成比" dataDxfId="119"/>
    <tableColumn id="16" xr3:uid="{A74E5CA3-7418-4428-9599-AE78995B5155}" name="法人以外の団体／事業所数" totalsRowFunction="sum" totalsRowDxfId="118" dataCellStyle="桁区切り" totalsRow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918F3B6-7AAA-49DC-B9CD-AAACD6F25383}" name="M_TABLE_27000" displayName="M_TABLE_27000" ref="B23:I43" totalsRowShown="0">
  <autoFilter ref="B23:I43" xr:uid="{4918F3B6-7AAA-49DC-B9CD-AAACD6F25383}"/>
  <tableColumns count="8">
    <tableColumn id="9" xr3:uid="{50925931-E4D4-461A-AF80-1333AD6B2A11}" name="産業中分類上位２０"/>
    <tableColumn id="10" xr3:uid="{8D8902F5-A1B2-4E8A-84E3-9F2E302BC877}" name="総数／事業所数" dataCellStyle="桁区切り"/>
    <tableColumn id="11" xr3:uid="{8B372F4F-3BD5-4FDB-BF5C-0D758865A1CD}" name="総数／構成比" dataDxfId="1041"/>
    <tableColumn id="12" xr3:uid="{BEC7E4F5-9055-433F-BD1B-594FA8BB04BA}" name="個人／事業所数" dataCellStyle="桁区切り"/>
    <tableColumn id="13" xr3:uid="{E2449608-BA5C-4C40-AB78-02D8CE51BE51}" name="個人／構成比" dataDxfId="1040"/>
    <tableColumn id="14" xr3:uid="{45E1FD9D-79C2-4D04-A335-DFD903D11269}" name="法人／事業所数" dataCellStyle="桁区切り"/>
    <tableColumn id="15" xr3:uid="{9BB36165-4E77-44DD-AEBA-DDFB7D9CC9B3}" name="法人／構成比" dataDxfId="1039"/>
    <tableColumn id="16" xr3:uid="{7A232938-3756-488C-9BD6-40F93900141B}" name="法人以外の団体／事業所数" dataCellStyle="桁区切り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3A8ADF38-8939-4433-8189-27170AD92520}" name="M_TABLE_27107" displayName="M_TABLE_27107" ref="B23:I43" totalsRowShown="0">
  <autoFilter ref="B23:I43" xr:uid="{3A8ADF38-8939-4433-8189-27170AD92520}"/>
  <tableColumns count="8">
    <tableColumn id="9" xr3:uid="{878D0700-4330-4B0F-8063-10F6A902DC1D}" name="産業中分類上位２０"/>
    <tableColumn id="10" xr3:uid="{5FAD3F85-0008-45D1-AEC4-BBA081E9FD06}" name="総数／事業所数" dataCellStyle="桁区切り"/>
    <tableColumn id="11" xr3:uid="{DE4EA21B-36C9-469A-9F06-E4E173859C10}" name="総数／構成比" dataDxfId="957"/>
    <tableColumn id="12" xr3:uid="{C9A770E7-8476-4B3A-9C3B-A586295A22D6}" name="個人／事業所数" dataCellStyle="桁区切り"/>
    <tableColumn id="13" xr3:uid="{E20BC502-59FA-47D2-83D1-9A5C1F6DAA4D}" name="個人／構成比" dataDxfId="956"/>
    <tableColumn id="14" xr3:uid="{9508F409-7483-4BB6-820E-A037E088B520}" name="法人／事業所数" dataCellStyle="桁区切り"/>
    <tableColumn id="15" xr3:uid="{6D2B21A3-C8D5-4A63-BA83-CFBB5C36068A}" name="法人／構成比" dataDxfId="955"/>
    <tableColumn id="16" xr3:uid="{43010F2C-18BB-421C-BE6D-865059A9D215}" name="法人以外の団体／事業所数" dataCellStyle="桁区切り"/>
  </tableColumns>
  <tableStyleInfo name="TableStyleMedium9" showFirstColumn="0" showLastColumn="0" showRowStripes="1" showColumnStripes="0"/>
</table>
</file>

<file path=xl/tables/table20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0" xr:uid="{8A25DBB7-A667-439C-BF69-A5C4B50DEF67}" name="M_TABLE_27321" displayName="M_TABLE_27321" ref="B23:I46" totalsRowShown="0">
  <autoFilter ref="B23:I46" xr:uid="{8A25DBB7-A667-439C-BF69-A5C4B50DEF67}"/>
  <tableColumns count="8">
    <tableColumn id="9" xr3:uid="{EA91F8B0-6AF7-435D-B474-C115EADF8B5D}" name="産業中分類上位２０"/>
    <tableColumn id="10" xr3:uid="{C601C5B6-4889-447F-AF8D-82326EFB538D}" name="総数／事業所数" dataCellStyle="桁区切り"/>
    <tableColumn id="11" xr3:uid="{F002D2FE-CE4F-4E6D-8578-D90BCD47B85D}" name="総数／構成比" dataDxfId="117"/>
    <tableColumn id="12" xr3:uid="{0FF4B4CD-D140-4C49-A106-04717A36458C}" name="個人／事業所数" dataCellStyle="桁区切り"/>
    <tableColumn id="13" xr3:uid="{5D03AAA9-A1C2-45FB-BDB2-781CA7C04F44}" name="個人／構成比" dataDxfId="116"/>
    <tableColumn id="14" xr3:uid="{8F745511-B8B1-4E95-8B06-E53AF2573C02}" name="法人／事業所数" dataCellStyle="桁区切り"/>
    <tableColumn id="15" xr3:uid="{6C38725B-C02E-427A-9132-F7BC18B85478}" name="法人／構成比" dataDxfId="115"/>
    <tableColumn id="16" xr3:uid="{AD214E9D-3070-4235-B8F1-5610F6757952}" name="法人以外の団体／事業所数" dataCellStyle="桁区切り"/>
  </tableColumns>
  <tableStyleInfo name="TableStyleMedium9" showFirstColumn="0" showLastColumn="0" showRowStripes="1" showColumnStripes="0"/>
</table>
</file>

<file path=xl/tables/table20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1" xr:uid="{7DEC7AAF-6CE3-4A07-84B4-18EB27753BED}" name="S_TABLE_27321" displayName="S_TABLE_27321" ref="B49:I69" totalsRowShown="0">
  <autoFilter ref="B49:I69" xr:uid="{7DEC7AAF-6CE3-4A07-84B4-18EB27753BED}"/>
  <tableColumns count="8">
    <tableColumn id="9" xr3:uid="{78AEEAE8-A91D-4563-9F3A-BA7606F4DD07}" name="産業小分類上位２０"/>
    <tableColumn id="10" xr3:uid="{FF9D5D42-EB4A-4525-AB74-FA1140BAC98D}" name="総数／事業所数" dataCellStyle="桁区切り"/>
    <tableColumn id="11" xr3:uid="{3CABF337-5446-4F38-A6B2-23B716E51AE4}" name="総数／構成比" dataDxfId="114"/>
    <tableColumn id="12" xr3:uid="{F7E87069-5C97-42A6-B702-F9D6FFA5E411}" name="個人／事業所数" dataCellStyle="桁区切り"/>
    <tableColumn id="13" xr3:uid="{E9FE3827-1A04-4062-997C-B66EC725ABE9}" name="個人／構成比" dataDxfId="113"/>
    <tableColumn id="14" xr3:uid="{1F252597-2572-4F16-8D70-14868BD8FD92}" name="法人／事業所数" dataCellStyle="桁区切り"/>
    <tableColumn id="15" xr3:uid="{AEF23F68-9C50-4C33-86F4-FABE9FAF8B21}" name="法人／構成比" dataDxfId="112"/>
    <tableColumn id="16" xr3:uid="{5215B677-C0C2-49C6-A6E5-C38A8891C2D5}" name="法人以外の団体／事業所数" dataCellStyle="桁区切り"/>
  </tableColumns>
  <tableStyleInfo name="TableStyleMedium9" showFirstColumn="0" showLastColumn="0" showRowStripes="1" showColumnStripes="0"/>
</table>
</file>

<file path=xl/tables/table2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2" xr:uid="{9CA9EA2C-43FC-4F27-9F64-1D3B7BACC3AB}" name="LTBL_27322" displayName="LTBL_27322" ref="B4:I20" totalsRowCount="1">
  <autoFilter ref="B4:I19" xr:uid="{9CA9EA2C-43FC-4F27-9F64-1D3B7BACC3AB}"/>
  <tableColumns count="8">
    <tableColumn id="9" xr3:uid="{22D2F57B-E7FE-4801-A9DE-488D65E1B4B2}" name="産業大分類" totalsRowLabel="合計" totalsRowDxfId="111"/>
    <tableColumn id="10" xr3:uid="{5F66D507-D964-4759-A9DB-EF54430432E6}" name="総数／事業所数" totalsRowFunction="custom" totalsRowDxfId="110" dataCellStyle="桁区切り" totalsRowCellStyle="桁区切り">
      <totalsRowFormula>SUM(LTBL_27322[総数／事業所数])</totalsRowFormula>
    </tableColumn>
    <tableColumn id="11" xr3:uid="{491517F0-91A1-4C68-B7B4-5E4BBA402E2E}" name="総数／構成比" dataDxfId="109"/>
    <tableColumn id="12" xr3:uid="{9182E0EA-772C-4439-B247-7E29C40C35E8}" name="個人／事業所数" totalsRowFunction="sum" totalsRowDxfId="108" dataCellStyle="桁区切り" totalsRowCellStyle="桁区切り"/>
    <tableColumn id="13" xr3:uid="{502D9C25-EE8B-48E3-90F3-ED241281C1BC}" name="個人／構成比" dataDxfId="107"/>
    <tableColumn id="14" xr3:uid="{395E5E6E-DF87-453A-861D-6FE3CF0E9F7B}" name="法人／事業所数" totalsRowFunction="sum" totalsRowDxfId="106" dataCellStyle="桁区切り" totalsRowCellStyle="桁区切り"/>
    <tableColumn id="15" xr3:uid="{61D8F639-F776-476F-9EAF-A67156FE414F}" name="法人／構成比" dataDxfId="105"/>
    <tableColumn id="16" xr3:uid="{A5BADDE2-90F4-497A-B0DC-083AB1DA8F0B}" name="法人以外の団体／事業所数" totalsRowFunction="sum" totalsRowDxfId="104" dataCellStyle="桁区切り" totalsRowCellStyle="桁区切り"/>
  </tableColumns>
  <tableStyleInfo name="TableStyleMedium9" showFirstColumn="0" showLastColumn="0" showRowStripes="1" showColumnStripes="0"/>
</table>
</file>

<file path=xl/tables/table20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3" xr:uid="{D32C19CC-D0AF-41C5-9E9C-298BCC56D4F8}" name="M_TABLE_27322" displayName="M_TABLE_27322" ref="B23:I43" totalsRowShown="0">
  <autoFilter ref="B23:I43" xr:uid="{D32C19CC-D0AF-41C5-9E9C-298BCC56D4F8}"/>
  <tableColumns count="8">
    <tableColumn id="9" xr3:uid="{B475EAF3-E662-45E9-94D2-4A7555462857}" name="産業中分類上位２０"/>
    <tableColumn id="10" xr3:uid="{0E2A44FA-77F3-4361-8F33-F230EE7F4FBC}" name="総数／事業所数" dataCellStyle="桁区切り"/>
    <tableColumn id="11" xr3:uid="{BD0F1381-BE4C-437E-A25E-1701F368224C}" name="総数／構成比" dataDxfId="103"/>
    <tableColumn id="12" xr3:uid="{8FDD184D-EE58-4866-9338-41AFF8B48265}" name="個人／事業所数" dataCellStyle="桁区切り"/>
    <tableColumn id="13" xr3:uid="{020F64B3-FB6E-4D5F-80E2-22678F8360A4}" name="個人／構成比" dataDxfId="102"/>
    <tableColumn id="14" xr3:uid="{6C372E24-EC32-465C-9617-F86886962A5A}" name="法人／事業所数" dataCellStyle="桁区切り"/>
    <tableColumn id="15" xr3:uid="{88382AB3-1AE8-4058-BD84-EDA4D8E887B1}" name="法人／構成比" dataDxfId="101"/>
    <tableColumn id="16" xr3:uid="{B1C8A03A-13B7-4592-BDE0-387DED4D2676}" name="法人以外の団体／事業所数" dataCellStyle="桁区切り"/>
  </tableColumns>
  <tableStyleInfo name="TableStyleMedium9" showFirstColumn="0" showLastColumn="0" showRowStripes="1" showColumnStripes="0"/>
</table>
</file>

<file path=xl/tables/table2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4" xr:uid="{AA68F7A8-7745-4F62-9118-0E16BB069C23}" name="S_TABLE_27322" displayName="S_TABLE_27322" ref="B46:I81" totalsRowShown="0">
  <autoFilter ref="B46:I81" xr:uid="{AA68F7A8-7745-4F62-9118-0E16BB069C23}"/>
  <tableColumns count="8">
    <tableColumn id="9" xr3:uid="{BB855481-A743-4532-9F7C-FD6CC758B571}" name="産業小分類上位２０"/>
    <tableColumn id="10" xr3:uid="{5D7C8DC2-5A8F-444D-974D-C456E058A5E2}" name="総数／事業所数" dataCellStyle="桁区切り"/>
    <tableColumn id="11" xr3:uid="{02052993-6930-4031-B520-065EA1F04DC7}" name="総数／構成比" dataDxfId="100"/>
    <tableColumn id="12" xr3:uid="{08730F50-AE0F-4913-B1C7-03721EE9CF70}" name="個人／事業所数" dataCellStyle="桁区切り"/>
    <tableColumn id="13" xr3:uid="{97D917D8-BDE0-4A9E-9739-1A8680FD84D3}" name="個人／構成比" dataDxfId="99"/>
    <tableColumn id="14" xr3:uid="{71A106BF-C22D-4387-BF06-88BE60CB1FF9}" name="法人／事業所数" dataCellStyle="桁区切り"/>
    <tableColumn id="15" xr3:uid="{5B36AD12-AC5F-4352-AC32-7163B72F03B0}" name="法人／構成比" dataDxfId="98"/>
    <tableColumn id="16" xr3:uid="{C383D9FA-9B2F-43F4-8F32-74EAC38E9465}" name="法人以外の団体／事業所数" dataCellStyle="桁区切り"/>
  </tableColumns>
  <tableStyleInfo name="TableStyleMedium9" showFirstColumn="0" showLastColumn="0" showRowStripes="1" showColumnStripes="0"/>
</table>
</file>

<file path=xl/tables/table2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5" xr:uid="{31FCA887-2807-4550-A23E-8551CAAA5EBA}" name="LTBL_27341" displayName="LTBL_27341" ref="B4:I20" totalsRowCount="1">
  <autoFilter ref="B4:I19" xr:uid="{31FCA887-2807-4550-A23E-8551CAAA5EBA}"/>
  <tableColumns count="8">
    <tableColumn id="9" xr3:uid="{587DFA55-2F38-48BB-AB31-6729600547B9}" name="産業大分類" totalsRowLabel="合計" totalsRowDxfId="97"/>
    <tableColumn id="10" xr3:uid="{E49CF0EF-8D1D-439A-B9F8-6507648E3DAF}" name="総数／事業所数" totalsRowFunction="custom" totalsRowDxfId="96" dataCellStyle="桁区切り" totalsRowCellStyle="桁区切り">
      <totalsRowFormula>SUM(LTBL_27341[総数／事業所数])</totalsRowFormula>
    </tableColumn>
    <tableColumn id="11" xr3:uid="{DA52860A-9D2C-44ED-B484-EEC71241E265}" name="総数／構成比" dataDxfId="95"/>
    <tableColumn id="12" xr3:uid="{7194EC6E-1C5F-4CBA-9852-79B3AEECB903}" name="個人／事業所数" totalsRowFunction="sum" totalsRowDxfId="94" dataCellStyle="桁区切り" totalsRowCellStyle="桁区切り"/>
    <tableColumn id="13" xr3:uid="{AD7ABBE1-A29C-4359-B6BE-728DDD1C6563}" name="個人／構成比" dataDxfId="93"/>
    <tableColumn id="14" xr3:uid="{30A8EBD9-A1FB-40B3-B56A-448B61652D89}" name="法人／事業所数" totalsRowFunction="sum" totalsRowDxfId="92" dataCellStyle="桁区切り" totalsRowCellStyle="桁区切り"/>
    <tableColumn id="15" xr3:uid="{9EDE932C-5251-41C8-A57E-0E6266D0DEFF}" name="法人／構成比" dataDxfId="91"/>
    <tableColumn id="16" xr3:uid="{3411E86F-4F88-4747-A19E-E89C3B5C431E}" name="法人以外の団体／事業所数" totalsRowFunction="sum" totalsRowDxfId="90" dataCellStyle="桁区切り" totalsRowCellStyle="桁区切り"/>
  </tableColumns>
  <tableStyleInfo name="TableStyleMedium9" showFirstColumn="0" showLastColumn="0" showRowStripes="1" showColumnStripes="0"/>
</table>
</file>

<file path=xl/tables/table2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6" xr:uid="{3FC03D2F-8032-4ACB-9B97-42467E0CC4DB}" name="M_TABLE_27341" displayName="M_TABLE_27341" ref="B23:I44" totalsRowShown="0">
  <autoFilter ref="B23:I44" xr:uid="{3FC03D2F-8032-4ACB-9B97-42467E0CC4DB}"/>
  <tableColumns count="8">
    <tableColumn id="9" xr3:uid="{7FFF163C-A557-4832-965B-B3D1661BED6D}" name="産業中分類上位２０"/>
    <tableColumn id="10" xr3:uid="{92BEE702-C3D9-4535-9905-B64B7CC58D45}" name="総数／事業所数" dataCellStyle="桁区切り"/>
    <tableColumn id="11" xr3:uid="{4EA53D87-7162-4013-989A-8F4945B5B591}" name="総数／構成比" dataDxfId="89"/>
    <tableColumn id="12" xr3:uid="{F4CFB49C-1F39-47FD-B302-72FAA7164FFF}" name="個人／事業所数" dataCellStyle="桁区切り"/>
    <tableColumn id="13" xr3:uid="{9FD15DA8-CF0D-4580-BC1D-A704F2C90142}" name="個人／構成比" dataDxfId="88"/>
    <tableColumn id="14" xr3:uid="{A342EF2E-58B0-46FF-B314-B0BF5609764F}" name="法人／事業所数" dataCellStyle="桁区切り"/>
    <tableColumn id="15" xr3:uid="{60B4B943-7800-4F3C-B411-0533E16774CE}" name="法人／構成比" dataDxfId="87"/>
    <tableColumn id="16" xr3:uid="{374877C3-C8DD-462A-857B-2717A0E07429}" name="法人以外の団体／事業所数" dataCellStyle="桁区切り"/>
  </tableColumns>
  <tableStyleInfo name="TableStyleMedium9" showFirstColumn="0" showLastColumn="0" showRowStripes="1" showColumnStripes="0"/>
</table>
</file>

<file path=xl/tables/table20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7" xr:uid="{F8105BFB-46F4-422A-A5F2-0F1599D472E9}" name="S_TABLE_27341" displayName="S_TABLE_27341" ref="B47:I68" totalsRowShown="0">
  <autoFilter ref="B47:I68" xr:uid="{F8105BFB-46F4-422A-A5F2-0F1599D472E9}"/>
  <tableColumns count="8">
    <tableColumn id="9" xr3:uid="{7DBEEDD9-D46C-4AFE-BC4A-38BB7121B3B8}" name="産業小分類上位２０"/>
    <tableColumn id="10" xr3:uid="{316C3F01-519E-4B71-8034-F9EEE9ABACAF}" name="総数／事業所数" dataCellStyle="桁区切り"/>
    <tableColumn id="11" xr3:uid="{60155D8B-DD53-4CC3-B9B6-DED5EDA5A402}" name="総数／構成比" dataDxfId="86"/>
    <tableColumn id="12" xr3:uid="{77BDB2C2-63B9-4E0B-8168-EA68457D4014}" name="個人／事業所数" dataCellStyle="桁区切り"/>
    <tableColumn id="13" xr3:uid="{1765408E-E94D-49EE-93C9-81ED752A02FA}" name="個人／構成比" dataDxfId="85"/>
    <tableColumn id="14" xr3:uid="{9873C882-B50E-46E7-A2D3-80DD42AEB205}" name="法人／事業所数" dataCellStyle="桁区切り"/>
    <tableColumn id="15" xr3:uid="{02BB6151-9D79-4ABD-94A9-3E7569CF9EBD}" name="法人／構成比" dataDxfId="84"/>
    <tableColumn id="16" xr3:uid="{C4D5B342-1433-4173-AD46-28D94D0725A8}" name="法人以外の団体／事業所数" dataCellStyle="桁区切り"/>
  </tableColumns>
  <tableStyleInfo name="TableStyleMedium9" showFirstColumn="0" showLastColumn="0" showRowStripes="1" showColumnStripes="0"/>
</table>
</file>

<file path=xl/tables/table20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8" xr:uid="{8C3A7E36-6AA2-4859-A26B-60041845CB6F}" name="LTBL_27361" displayName="LTBL_27361" ref="B4:I20" totalsRowCount="1">
  <autoFilter ref="B4:I19" xr:uid="{8C3A7E36-6AA2-4859-A26B-60041845CB6F}"/>
  <tableColumns count="8">
    <tableColumn id="9" xr3:uid="{15610E0C-E3FB-46A4-A6BC-DB364C2F6A69}" name="産業大分類" totalsRowLabel="合計" totalsRowDxfId="83"/>
    <tableColumn id="10" xr3:uid="{5E5F132D-834E-4AD1-8921-F90482825948}" name="総数／事業所数" totalsRowFunction="custom" totalsRowDxfId="82" dataCellStyle="桁区切り" totalsRowCellStyle="桁区切り">
      <totalsRowFormula>SUM(LTBL_27361[総数／事業所数])</totalsRowFormula>
    </tableColumn>
    <tableColumn id="11" xr3:uid="{FA8AC6E8-EC51-40C4-BD70-85E9A67607F3}" name="総数／構成比" dataDxfId="81"/>
    <tableColumn id="12" xr3:uid="{DE515400-EB3D-48CA-A504-E64FE185E75F}" name="個人／事業所数" totalsRowFunction="sum" totalsRowDxfId="80" dataCellStyle="桁区切り" totalsRowCellStyle="桁区切り"/>
    <tableColumn id="13" xr3:uid="{07A71031-DD37-42A8-9468-6384C96D881A}" name="個人／構成比" dataDxfId="79"/>
    <tableColumn id="14" xr3:uid="{BB6F2660-1A89-4673-935D-5395EA5E60A3}" name="法人／事業所数" totalsRowFunction="sum" totalsRowDxfId="78" dataCellStyle="桁区切り" totalsRowCellStyle="桁区切り"/>
    <tableColumn id="15" xr3:uid="{B3C9B7A4-CDEE-48DC-808A-E8935C3B18FA}" name="法人／構成比" dataDxfId="77"/>
    <tableColumn id="16" xr3:uid="{B5C31B46-AD78-4803-8194-97EDF5F5B3A8}" name="法人以外の団体／事業所数" totalsRowFunction="sum" totalsRowDxfId="76" dataCellStyle="桁区切り" totalsRowCellStyle="桁区切り"/>
  </tableColumns>
  <tableStyleInfo name="TableStyleMedium9" showFirstColumn="0" showLastColumn="0" showRowStripes="1" showColumnStripes="0"/>
</table>
</file>

<file path=xl/tables/table20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9" xr:uid="{08185DC6-1E38-471F-8AE8-2DE9F474E465}" name="M_TABLE_27361" displayName="M_TABLE_27361" ref="B23:I45" totalsRowShown="0">
  <autoFilter ref="B23:I45" xr:uid="{08185DC6-1E38-471F-8AE8-2DE9F474E465}"/>
  <tableColumns count="8">
    <tableColumn id="9" xr3:uid="{398EE171-1F88-4D24-80B0-AC47D5864A8F}" name="産業中分類上位２０"/>
    <tableColumn id="10" xr3:uid="{F80C2DA8-2E54-457E-9BDB-B152D247B8FA}" name="総数／事業所数" dataCellStyle="桁区切り"/>
    <tableColumn id="11" xr3:uid="{BBCC416B-91BF-4DDA-A200-7E80375E5EF4}" name="総数／構成比" dataDxfId="75"/>
    <tableColumn id="12" xr3:uid="{1D61C701-08C7-458F-9884-9656D8BA25D7}" name="個人／事業所数" dataCellStyle="桁区切り"/>
    <tableColumn id="13" xr3:uid="{6C5F3353-033E-417A-8063-20212777E8F0}" name="個人／構成比" dataDxfId="74"/>
    <tableColumn id="14" xr3:uid="{C8C8D787-B27A-4F76-90D2-663D6A01AE7E}" name="法人／事業所数" dataCellStyle="桁区切り"/>
    <tableColumn id="15" xr3:uid="{C4279688-808A-4DE1-B788-92A5E60D1BFF}" name="法人／構成比" dataDxfId="73"/>
    <tableColumn id="16" xr3:uid="{E4A234E6-8FFF-42B2-819E-B0CF6B155117}" name="法人以外の団体／事業所数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F6D4E173-E565-438D-92FD-D678A1E3CD1D}" name="S_TABLE_27107" displayName="S_TABLE_27107" ref="B46:I67" totalsRowShown="0">
  <autoFilter ref="B46:I67" xr:uid="{F6D4E173-E565-438D-92FD-D678A1E3CD1D}"/>
  <tableColumns count="8">
    <tableColumn id="9" xr3:uid="{2172D8B3-ECCE-41BC-B32E-DE28C09ED8DA}" name="産業小分類上位２０"/>
    <tableColumn id="10" xr3:uid="{6E56ED5E-5D55-498F-95A8-3AAFA470864C}" name="総数／事業所数" dataCellStyle="桁区切り"/>
    <tableColumn id="11" xr3:uid="{44DEAEB5-04F9-407A-9D2C-5895739FA11F}" name="総数／構成比" dataDxfId="954"/>
    <tableColumn id="12" xr3:uid="{EA5DCC8C-4589-42C9-8E3E-0B19F1D3A3B1}" name="個人／事業所数" dataCellStyle="桁区切り"/>
    <tableColumn id="13" xr3:uid="{A71A955A-9281-4A5F-ACD8-FE11E54429C2}" name="個人／構成比" dataDxfId="953"/>
    <tableColumn id="14" xr3:uid="{29DAF678-1732-4B7F-B001-927A020E6DA3}" name="法人／事業所数" dataCellStyle="桁区切り"/>
    <tableColumn id="15" xr3:uid="{2C044390-5357-48AE-86A0-A23ABDBDEB15}" name="法人／構成比" dataDxfId="952"/>
    <tableColumn id="16" xr3:uid="{60153BB7-8751-4123-B332-662C78172467}" name="法人以外の団体／事業所数" dataCellStyle="桁区切り"/>
  </tableColumns>
  <tableStyleInfo name="TableStyleMedium9" showFirstColumn="0" showLastColumn="0" showRowStripes="1" showColumnStripes="0"/>
</table>
</file>

<file path=xl/tables/table2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0" xr:uid="{6CF24A1F-BE53-4031-97D6-9DAC4581C901}" name="S_TABLE_27361" displayName="S_TABLE_27361" ref="B48:I68" totalsRowShown="0">
  <autoFilter ref="B48:I68" xr:uid="{6CF24A1F-BE53-4031-97D6-9DAC4581C901}"/>
  <tableColumns count="8">
    <tableColumn id="9" xr3:uid="{CC6CC11A-C025-497C-9F86-CA048EFA5CAA}" name="産業小分類上位２０"/>
    <tableColumn id="10" xr3:uid="{7C9EBDA4-DE43-458E-978B-0442BEC60507}" name="総数／事業所数" dataCellStyle="桁区切り"/>
    <tableColumn id="11" xr3:uid="{F88E04D4-8E5D-4757-A085-66878F9C41CC}" name="総数／構成比" dataDxfId="72"/>
    <tableColumn id="12" xr3:uid="{7B1FF327-C8A6-4D00-9288-00DF1F6D8643}" name="個人／事業所数" dataCellStyle="桁区切り"/>
    <tableColumn id="13" xr3:uid="{CCA9B5F3-5AD8-4BCE-BE30-3F9F2734A75F}" name="個人／構成比" dataDxfId="71"/>
    <tableColumn id="14" xr3:uid="{80EE50BA-0BDF-4691-B0C4-043A2326637A}" name="法人／事業所数" dataCellStyle="桁区切り"/>
    <tableColumn id="15" xr3:uid="{6F925FC6-0314-4BA6-BE3E-347B38629610}" name="法人／構成比" dataDxfId="70"/>
    <tableColumn id="16" xr3:uid="{BBFF4508-9408-4A93-A473-57EEFF176A51}" name="法人以外の団体／事業所数" dataCellStyle="桁区切り"/>
  </tableColumns>
  <tableStyleInfo name="TableStyleMedium9" showFirstColumn="0" showLastColumn="0" showRowStripes="1" showColumnStripes="0"/>
</table>
</file>

<file path=xl/tables/table2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1" xr:uid="{877834B3-02F2-4366-AB4D-0D23223FCFCB}" name="LTBL_27362" displayName="LTBL_27362" ref="B4:I20" totalsRowCount="1">
  <autoFilter ref="B4:I19" xr:uid="{877834B3-02F2-4366-AB4D-0D23223FCFCB}"/>
  <tableColumns count="8">
    <tableColumn id="9" xr3:uid="{8255994C-13BC-4258-9820-45CC2D83F902}" name="産業大分類" totalsRowLabel="合計" totalsRowDxfId="69"/>
    <tableColumn id="10" xr3:uid="{88F4C27B-32E7-4348-8780-EE47C451324D}" name="総数／事業所数" totalsRowFunction="custom" totalsRowDxfId="68" dataCellStyle="桁区切り" totalsRowCellStyle="桁区切り">
      <totalsRowFormula>SUM(LTBL_27362[総数／事業所数])</totalsRowFormula>
    </tableColumn>
    <tableColumn id="11" xr3:uid="{1D939DDD-22DD-4F3F-B937-DB0644E2A316}" name="総数／構成比" dataDxfId="67"/>
    <tableColumn id="12" xr3:uid="{37C882FB-ADB6-49C2-89DC-FCF6CD0DF07B}" name="個人／事業所数" totalsRowFunction="sum" totalsRowDxfId="66" dataCellStyle="桁区切り" totalsRowCellStyle="桁区切り"/>
    <tableColumn id="13" xr3:uid="{2FEF59D5-EE14-423B-95F6-4BD309139E94}" name="個人／構成比" dataDxfId="65"/>
    <tableColumn id="14" xr3:uid="{6DAA90A8-3D65-4285-BE36-8B18A6214F90}" name="法人／事業所数" totalsRowFunction="sum" totalsRowDxfId="64" dataCellStyle="桁区切り" totalsRowCellStyle="桁区切り"/>
    <tableColumn id="15" xr3:uid="{1EC88C8D-A07A-401D-A64D-0F727C2CFADA}" name="法人／構成比" dataDxfId="63"/>
    <tableColumn id="16" xr3:uid="{9D98717A-F1C3-4E5A-9087-D079FF96DEAB}" name="法人以外の団体／事業所数" totalsRowFunction="sum" totalsRowDxfId="62" dataCellStyle="桁区切り" totalsRowCellStyle="桁区切り"/>
  </tableColumns>
  <tableStyleInfo name="TableStyleMedium9" showFirstColumn="0" showLastColumn="0" showRowStripes="1" showColumnStripes="0"/>
</table>
</file>

<file path=xl/tables/table2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2" xr:uid="{A906100F-DAB7-4191-9211-059F587137BA}" name="M_TABLE_27362" displayName="M_TABLE_27362" ref="B23:I44" totalsRowShown="0">
  <autoFilter ref="B23:I44" xr:uid="{A906100F-DAB7-4191-9211-059F587137BA}"/>
  <tableColumns count="8">
    <tableColumn id="9" xr3:uid="{A1CE4160-A42F-45B6-BF2C-FB4B300E0C86}" name="産業中分類上位２０"/>
    <tableColumn id="10" xr3:uid="{A6C08504-50A4-429E-833B-7F59556CE0E1}" name="総数／事業所数" dataCellStyle="桁区切り"/>
    <tableColumn id="11" xr3:uid="{9EE31E56-96F1-4913-87F4-CED751446658}" name="総数／構成比" dataDxfId="61"/>
    <tableColumn id="12" xr3:uid="{CD3A0669-77FE-4F1D-ACBB-6E0664212E94}" name="個人／事業所数" dataCellStyle="桁区切り"/>
    <tableColumn id="13" xr3:uid="{00529444-BEF4-48BD-AD70-536A13C3E07B}" name="個人／構成比" dataDxfId="60"/>
    <tableColumn id="14" xr3:uid="{E36216D6-505C-4341-B8C0-0BC3C7BD8358}" name="法人／事業所数" dataCellStyle="桁区切り"/>
    <tableColumn id="15" xr3:uid="{30293B92-210B-4969-85B4-182B3094932A}" name="法人／構成比" dataDxfId="59"/>
    <tableColumn id="16" xr3:uid="{19608287-4D5B-442B-9247-5CD6F22EF129}" name="法人以外の団体／事業所数" dataCellStyle="桁区切り"/>
  </tableColumns>
  <tableStyleInfo name="TableStyleMedium9" showFirstColumn="0" showLastColumn="0" showRowStripes="1" showColumnStripes="0"/>
</table>
</file>

<file path=xl/tables/table2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3" xr:uid="{B1DA9F43-1C75-4EB2-8AAC-B195C764FD9C}" name="S_TABLE_27362" displayName="S_TABLE_27362" ref="B47:I78" totalsRowShown="0">
  <autoFilter ref="B47:I78" xr:uid="{B1DA9F43-1C75-4EB2-8AAC-B195C764FD9C}"/>
  <tableColumns count="8">
    <tableColumn id="9" xr3:uid="{198A095C-64A6-45CE-A54D-04D86490B087}" name="産業小分類上位２０"/>
    <tableColumn id="10" xr3:uid="{FE93D570-9CAB-44C1-A062-BECB049FF1A5}" name="総数／事業所数" dataCellStyle="桁区切り"/>
    <tableColumn id="11" xr3:uid="{94F53F5A-7D63-400B-878E-B417EBD0AF39}" name="総数／構成比" dataDxfId="58"/>
    <tableColumn id="12" xr3:uid="{46AC4707-5BE6-450C-8D47-08955D18BB6F}" name="個人／事業所数" dataCellStyle="桁区切り"/>
    <tableColumn id="13" xr3:uid="{9E0B9D31-81B7-44B6-9EE9-0DC7751D366A}" name="個人／構成比" dataDxfId="57"/>
    <tableColumn id="14" xr3:uid="{B6601F34-E299-4FB4-BD7E-632C98E27112}" name="法人／事業所数" dataCellStyle="桁区切り"/>
    <tableColumn id="15" xr3:uid="{E6B5F1FA-828F-4327-B577-27747DDF018D}" name="法人／構成比" dataDxfId="56"/>
    <tableColumn id="16" xr3:uid="{E8AAB9A6-72C5-4D52-B07B-4A87D18EAC79}" name="法人以外の団体／事業所数" dataCellStyle="桁区切り"/>
  </tableColumns>
  <tableStyleInfo name="TableStyleMedium9" showFirstColumn="0" showLastColumn="0" showRowStripes="1" showColumnStripes="0"/>
</table>
</file>

<file path=xl/tables/table2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4" xr:uid="{DC3782A7-E4B8-455C-A874-E5F1D0AC95E6}" name="LTBL_27366" displayName="LTBL_27366" ref="B4:I20" totalsRowCount="1">
  <autoFilter ref="B4:I19" xr:uid="{DC3782A7-E4B8-455C-A874-E5F1D0AC95E6}"/>
  <tableColumns count="8">
    <tableColumn id="9" xr3:uid="{20C9E0F3-983E-439A-A80D-5AF297CC8DA2}" name="産業大分類" totalsRowLabel="合計" totalsRowDxfId="55"/>
    <tableColumn id="10" xr3:uid="{1EFE617E-9105-4776-95C1-BA5766AAB97C}" name="総数／事業所数" totalsRowFunction="custom" totalsRowDxfId="54" dataCellStyle="桁区切り" totalsRowCellStyle="桁区切り">
      <totalsRowFormula>SUM(LTBL_27366[総数／事業所数])</totalsRowFormula>
    </tableColumn>
    <tableColumn id="11" xr3:uid="{0E64F781-4E68-4823-AFCF-003EC3C1A9CA}" name="総数／構成比" dataDxfId="53"/>
    <tableColumn id="12" xr3:uid="{6CD8EB09-17C0-4F68-8604-C62A8A6A4FD1}" name="個人／事業所数" totalsRowFunction="sum" totalsRowDxfId="52" dataCellStyle="桁区切り" totalsRowCellStyle="桁区切り"/>
    <tableColumn id="13" xr3:uid="{333619B7-06A9-4A2D-9819-25E1D6FC5CF6}" name="個人／構成比" dataDxfId="51"/>
    <tableColumn id="14" xr3:uid="{64BD8590-8E73-4DBB-BB18-C4A46B900982}" name="法人／事業所数" totalsRowFunction="sum" totalsRowDxfId="50" dataCellStyle="桁区切り" totalsRowCellStyle="桁区切り"/>
    <tableColumn id="15" xr3:uid="{1ACA7E0A-0081-4661-A415-160DF898C091}" name="法人／構成比" dataDxfId="49"/>
    <tableColumn id="16" xr3:uid="{A85B8899-75C7-4E69-9C0E-2BC893CD4F2F}" name="法人以外の団体／事業所数" totalsRowFunction="sum" totalsRowDxfId="48" dataCellStyle="桁区切り" totalsRowCellStyle="桁区切り"/>
  </tableColumns>
  <tableStyleInfo name="TableStyleMedium9" showFirstColumn="0" showLastColumn="0" showRowStripes="1" showColumnStripes="0"/>
</table>
</file>

<file path=xl/tables/table2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5" xr:uid="{A05C624A-A4BF-4EB0-B23D-0264CDF67028}" name="M_TABLE_27366" displayName="M_TABLE_27366" ref="B23:I45" totalsRowShown="0">
  <autoFilter ref="B23:I45" xr:uid="{A05C624A-A4BF-4EB0-B23D-0264CDF67028}"/>
  <tableColumns count="8">
    <tableColumn id="9" xr3:uid="{9A750772-5541-40E0-98A8-ADD26B57360D}" name="産業中分類上位２０"/>
    <tableColumn id="10" xr3:uid="{905AC567-B0DE-4547-97A7-666A3D42C131}" name="総数／事業所数" dataCellStyle="桁区切り"/>
    <tableColumn id="11" xr3:uid="{A7AD26E1-0A70-46DF-A226-BCEF6257AAA2}" name="総数／構成比" dataDxfId="47"/>
    <tableColumn id="12" xr3:uid="{A75734E7-9354-4859-9875-10BD07BF2A40}" name="個人／事業所数" dataCellStyle="桁区切り"/>
    <tableColumn id="13" xr3:uid="{13ED9E1A-CDCE-4A61-BEF1-2BDD35AA46A0}" name="個人／構成比" dataDxfId="46"/>
    <tableColumn id="14" xr3:uid="{7AA09D54-2217-4174-ADF7-9EE456AC5489}" name="法人／事業所数" dataCellStyle="桁区切り"/>
    <tableColumn id="15" xr3:uid="{3B4A1D22-F1E0-49FE-B66A-3531304FE655}" name="法人／構成比" dataDxfId="45"/>
    <tableColumn id="16" xr3:uid="{67FA0DB3-E1D7-4C74-B4AD-A57C1C65723F}" name="法人以外の団体／事業所数" dataCellStyle="桁区切り"/>
  </tableColumns>
  <tableStyleInfo name="TableStyleMedium9" showFirstColumn="0" showLastColumn="0" showRowStripes="1" showColumnStripes="0"/>
</table>
</file>

<file path=xl/tables/table2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6" xr:uid="{6B3B9E1D-9ED6-4510-B8C4-AFCC6FD28B82}" name="S_TABLE_27366" displayName="S_TABLE_27366" ref="B48:I70" totalsRowShown="0">
  <autoFilter ref="B48:I70" xr:uid="{6B3B9E1D-9ED6-4510-B8C4-AFCC6FD28B82}"/>
  <tableColumns count="8">
    <tableColumn id="9" xr3:uid="{54E94736-82E4-4189-A523-0D6448872550}" name="産業小分類上位２０"/>
    <tableColumn id="10" xr3:uid="{36021F6A-42CF-474B-BB54-E0FE898D7F11}" name="総数／事業所数" dataCellStyle="桁区切り"/>
    <tableColumn id="11" xr3:uid="{233DBBCD-81A1-4296-8FCE-75040AD929B4}" name="総数／構成比" dataDxfId="44"/>
    <tableColumn id="12" xr3:uid="{4B34E075-270A-42AD-9960-C8463D739A3E}" name="個人／事業所数" dataCellStyle="桁区切り"/>
    <tableColumn id="13" xr3:uid="{6A8C4648-5DF5-4987-A17A-40155C1051B2}" name="個人／構成比" dataDxfId="43"/>
    <tableColumn id="14" xr3:uid="{A22854B1-7C71-4C6D-8708-FF78993F6287}" name="法人／事業所数" dataCellStyle="桁区切り"/>
    <tableColumn id="15" xr3:uid="{C0A8C815-AD61-413D-BB44-44FC4E3680AF}" name="法人／構成比" dataDxfId="42"/>
    <tableColumn id="16" xr3:uid="{E4ACB1A6-750D-4D57-91EC-384A767F2E6F}" name="法人以外の団体／事業所数" dataCellStyle="桁区切り"/>
  </tableColumns>
  <tableStyleInfo name="TableStyleMedium9" showFirstColumn="0" showLastColumn="0" showRowStripes="1" showColumnStripes="0"/>
</table>
</file>

<file path=xl/tables/table2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7" xr:uid="{0475CF88-CF7D-4EE4-914E-897CDF53EE0D}" name="LTBL_27381" displayName="LTBL_27381" ref="B4:I20" totalsRowCount="1">
  <autoFilter ref="B4:I19" xr:uid="{0475CF88-CF7D-4EE4-914E-897CDF53EE0D}"/>
  <tableColumns count="8">
    <tableColumn id="9" xr3:uid="{9B6995E0-9D3A-4D3C-A14F-5C585CD28F24}" name="産業大分類" totalsRowLabel="合計" totalsRowDxfId="41"/>
    <tableColumn id="10" xr3:uid="{FE854008-552E-444D-81DB-3C7338DCB607}" name="総数／事業所数" totalsRowFunction="custom" totalsRowDxfId="40" dataCellStyle="桁区切り" totalsRowCellStyle="桁区切り">
      <totalsRowFormula>SUM(LTBL_27381[総数／事業所数])</totalsRowFormula>
    </tableColumn>
    <tableColumn id="11" xr3:uid="{52B39C93-0E37-4C9C-AAE0-0F4B9953D6C5}" name="総数／構成比" dataDxfId="39"/>
    <tableColumn id="12" xr3:uid="{3BD7CAAD-1A2F-4293-8D7D-785508256BCC}" name="個人／事業所数" totalsRowFunction="sum" totalsRowDxfId="38" dataCellStyle="桁区切り" totalsRowCellStyle="桁区切り"/>
    <tableColumn id="13" xr3:uid="{A1D4EF24-AAD0-439B-917D-A756230E3D0D}" name="個人／構成比" dataDxfId="37"/>
    <tableColumn id="14" xr3:uid="{6CFB1427-38FD-4456-AF01-972A3AD16712}" name="法人／事業所数" totalsRowFunction="sum" totalsRowDxfId="36" dataCellStyle="桁区切り" totalsRowCellStyle="桁区切り"/>
    <tableColumn id="15" xr3:uid="{D168916B-7741-403E-9B1C-F22D6A7F61B7}" name="法人／構成比" dataDxfId="35"/>
    <tableColumn id="16" xr3:uid="{328AEA38-C06A-4EF7-A025-BF1F66B9753D}" name="法人以外の団体／事業所数" totalsRowFunction="sum" totalsRowDxfId="34" dataCellStyle="桁区切り" totalsRowCellStyle="桁区切り"/>
  </tableColumns>
  <tableStyleInfo name="TableStyleMedium9" showFirstColumn="0" showLastColumn="0" showRowStripes="1" showColumnStripes="0"/>
</table>
</file>

<file path=xl/tables/table2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8" xr:uid="{69C1DCFC-011E-4E8B-8161-26A138BA71CC}" name="M_TABLE_27381" displayName="M_TABLE_27381" ref="B23:I44" totalsRowShown="0">
  <autoFilter ref="B23:I44" xr:uid="{69C1DCFC-011E-4E8B-8161-26A138BA71CC}"/>
  <tableColumns count="8">
    <tableColumn id="9" xr3:uid="{3C99A99C-58F7-42DC-8BA5-91D3CAB40200}" name="産業中分類上位２０"/>
    <tableColumn id="10" xr3:uid="{EB39E27B-AEE3-4360-AB8F-4D637438FAF5}" name="総数／事業所数" dataCellStyle="桁区切り"/>
    <tableColumn id="11" xr3:uid="{577369CB-A899-4CF4-8634-58B797000C3D}" name="総数／構成比" dataDxfId="33"/>
    <tableColumn id="12" xr3:uid="{3B5475F3-28D2-4A5F-BB6E-1F856D2542F4}" name="個人／事業所数" dataCellStyle="桁区切り"/>
    <tableColumn id="13" xr3:uid="{2028179A-8B45-4C98-A51B-25E80AF7765C}" name="個人／構成比" dataDxfId="32"/>
    <tableColumn id="14" xr3:uid="{1A3C0FBA-9A7E-44B0-9B73-B327FC5B0FB7}" name="法人／事業所数" dataCellStyle="桁区切り"/>
    <tableColumn id="15" xr3:uid="{15EF309C-17B5-48C6-8E0D-D85BC27DAE98}" name="法人／構成比" dataDxfId="31"/>
    <tableColumn id="16" xr3:uid="{58E35B89-F113-4CD4-8FD5-E5FE50E5E047}" name="法人以外の団体／事業所数" dataCellStyle="桁区切り"/>
  </tableColumns>
  <tableStyleInfo name="TableStyleMedium9" showFirstColumn="0" showLastColumn="0" showRowStripes="1" showColumnStripes="0"/>
</table>
</file>

<file path=xl/tables/table2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9" xr:uid="{D2D69E94-79C9-4FA4-8119-50DFE172A819}" name="S_TABLE_27381" displayName="S_TABLE_27381" ref="B47:I71" totalsRowShown="0">
  <autoFilter ref="B47:I71" xr:uid="{D2D69E94-79C9-4FA4-8119-50DFE172A819}"/>
  <tableColumns count="8">
    <tableColumn id="9" xr3:uid="{787C73AE-9A41-426F-B9A7-9E405C1C6130}" name="産業小分類上位２０"/>
    <tableColumn id="10" xr3:uid="{8DB8BA9E-AFFA-44DC-9A1E-EA82D82F1EFA}" name="総数／事業所数" dataCellStyle="桁区切り"/>
    <tableColumn id="11" xr3:uid="{6D40FE3F-A93A-439B-9B7A-CA0088335637}" name="総数／構成比" dataDxfId="30"/>
    <tableColumn id="12" xr3:uid="{F2E5263B-F457-4E95-ABB4-72DED1178B85}" name="個人／事業所数" dataCellStyle="桁区切り"/>
    <tableColumn id="13" xr3:uid="{99C35D15-AF9B-4092-BBA3-90386DD648D0}" name="個人／構成比" dataDxfId="29"/>
    <tableColumn id="14" xr3:uid="{A195B881-16F8-4891-AB57-0AA57CF3C7B2}" name="法人／事業所数" dataCellStyle="桁区切り"/>
    <tableColumn id="15" xr3:uid="{20488C9B-5B62-4C63-90FE-F9E37031E3F6}" name="法人／構成比" dataDxfId="28"/>
    <tableColumn id="16" xr3:uid="{0B415A66-999D-4B44-BB09-052E26C90D73}" name="法人以外の団体／事業所数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3E0C169D-FA7D-475E-9A9E-BE623DFB3B0E}" name="LTBL_27108" displayName="LTBL_27108" ref="B4:I20" totalsRowCount="1">
  <autoFilter ref="B4:I19" xr:uid="{3E0C169D-FA7D-475E-9A9E-BE623DFB3B0E}"/>
  <tableColumns count="8">
    <tableColumn id="9" xr3:uid="{6B534805-5D81-4833-82A8-4A85B2E5A1A1}" name="産業大分類" totalsRowLabel="合計" totalsRowDxfId="951"/>
    <tableColumn id="10" xr3:uid="{F114A847-64BE-4F97-9C89-4BA5960AF038}" name="総数／事業所数" totalsRowFunction="custom" totalsRowDxfId="950" dataCellStyle="桁区切り" totalsRowCellStyle="桁区切り">
      <totalsRowFormula>SUM(LTBL_27108[総数／事業所数])</totalsRowFormula>
    </tableColumn>
    <tableColumn id="11" xr3:uid="{2465BD16-0BAB-42DA-A27F-B22368F88B45}" name="総数／構成比" dataDxfId="949"/>
    <tableColumn id="12" xr3:uid="{57C67B99-EF9E-45F1-8A56-9C3EA0F66C10}" name="個人／事業所数" totalsRowFunction="sum" totalsRowDxfId="948" dataCellStyle="桁区切り" totalsRowCellStyle="桁区切り"/>
    <tableColumn id="13" xr3:uid="{BF838228-CBBC-4245-B9C9-A1820538774D}" name="個人／構成比" dataDxfId="947"/>
    <tableColumn id="14" xr3:uid="{A2445CC6-1C4C-4824-96B0-5B44F19FA910}" name="法人／事業所数" totalsRowFunction="sum" totalsRowDxfId="946" dataCellStyle="桁区切り" totalsRowCellStyle="桁区切り"/>
    <tableColumn id="15" xr3:uid="{A1006E88-91FD-473E-AB7F-EFA957ED3FB3}" name="法人／構成比" dataDxfId="945"/>
    <tableColumn id="16" xr3:uid="{49B693EC-B5DE-464B-9F83-89AF3CACAC44}" name="法人以外の団体／事業所数" totalsRowFunction="sum" totalsRowDxfId="944" dataCellStyle="桁区切り" totalsRowCellStyle="桁区切り"/>
  </tableColumns>
  <tableStyleInfo name="TableStyleMedium9" showFirstColumn="0" showLastColumn="0" showRowStripes="1" showColumnStripes="0"/>
</table>
</file>

<file path=xl/tables/table2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0" xr:uid="{8582C49C-F553-430A-94F0-7806343DFC69}" name="LTBL_27382" displayName="LTBL_27382" ref="B4:I20" totalsRowCount="1">
  <autoFilter ref="B4:I19" xr:uid="{8582C49C-F553-430A-94F0-7806343DFC69}"/>
  <tableColumns count="8">
    <tableColumn id="9" xr3:uid="{FC913196-F249-472A-A12D-DB143BB9E14E}" name="産業大分類" totalsRowLabel="合計" totalsRowDxfId="27"/>
    <tableColumn id="10" xr3:uid="{C7CA6E10-5585-4528-BC22-BC276FD0ADFA}" name="総数／事業所数" totalsRowFunction="custom" totalsRowDxfId="26" dataCellStyle="桁区切り" totalsRowCellStyle="桁区切り">
      <totalsRowFormula>SUM(LTBL_27382[総数／事業所数])</totalsRowFormula>
    </tableColumn>
    <tableColumn id="11" xr3:uid="{32065170-56EB-433D-946B-47129641EB1B}" name="総数／構成比" dataDxfId="25"/>
    <tableColumn id="12" xr3:uid="{26BA3576-F320-4F4A-9FE0-92FF1FF20C0A}" name="個人／事業所数" totalsRowFunction="sum" totalsRowDxfId="24" dataCellStyle="桁区切り" totalsRowCellStyle="桁区切り"/>
    <tableColumn id="13" xr3:uid="{C8BCFDCD-C291-4E19-AEB3-1BB626C8312D}" name="個人／構成比" dataDxfId="23"/>
    <tableColumn id="14" xr3:uid="{35F6EFBC-9053-4B8F-8E6D-278FA36D4CDA}" name="法人／事業所数" totalsRowFunction="sum" totalsRowDxfId="22" dataCellStyle="桁区切り" totalsRowCellStyle="桁区切り"/>
    <tableColumn id="15" xr3:uid="{4993E4DF-D788-4228-A15B-6FB09E66D01B}" name="法人／構成比" dataDxfId="21"/>
    <tableColumn id="16" xr3:uid="{AFFAA2F2-83C7-4DC4-94BE-56383A4C6754}" name="法人以外の団体／事業所数" totalsRowFunction="sum" totalsRowDxfId="20" dataCellStyle="桁区切り" totalsRowCellStyle="桁区切り"/>
  </tableColumns>
  <tableStyleInfo name="TableStyleMedium9" showFirstColumn="0" showLastColumn="0" showRowStripes="1" showColumnStripes="0"/>
</table>
</file>

<file path=xl/tables/table2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1" xr:uid="{3C7CD780-FC93-40BF-93DC-D15E8D0336FB}" name="M_TABLE_27382" displayName="M_TABLE_27382" ref="B23:I47" totalsRowShown="0">
  <autoFilter ref="B23:I47" xr:uid="{3C7CD780-FC93-40BF-93DC-D15E8D0336FB}"/>
  <tableColumns count="8">
    <tableColumn id="9" xr3:uid="{F29D71A2-0EE0-460C-A03C-7C517D588670}" name="産業中分類上位２０"/>
    <tableColumn id="10" xr3:uid="{B7D14160-ECCF-4501-B027-011610E8F12D}" name="総数／事業所数" dataCellStyle="桁区切り"/>
    <tableColumn id="11" xr3:uid="{6AFFEBEE-D5B6-4FBE-B150-CDA62397A8A1}" name="総数／構成比" dataDxfId="19"/>
    <tableColumn id="12" xr3:uid="{7E483D5E-D605-4652-AEDB-75AC44CED01A}" name="個人／事業所数" dataCellStyle="桁区切り"/>
    <tableColumn id="13" xr3:uid="{5AAF96E9-93B4-468B-99ED-FFCF661202DB}" name="個人／構成比" dataDxfId="18"/>
    <tableColumn id="14" xr3:uid="{769491BC-0358-45D9-8AEC-670066D677BC}" name="法人／事業所数" dataCellStyle="桁区切り"/>
    <tableColumn id="15" xr3:uid="{0EAE761B-67E4-42C7-BD85-6F960D6E7174}" name="法人／構成比" dataDxfId="17"/>
    <tableColumn id="16" xr3:uid="{8C40B091-3660-4B3D-9AC0-14F5CFE467B2}" name="法人以外の団体／事業所数" dataCellStyle="桁区切り"/>
  </tableColumns>
  <tableStyleInfo name="TableStyleMedium9" showFirstColumn="0" showLastColumn="0" showRowStripes="1" showColumnStripes="0"/>
</table>
</file>

<file path=xl/tables/table2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2" xr:uid="{8D6B857B-7926-4A1A-8242-3182565727A8}" name="S_TABLE_27382" displayName="S_TABLE_27382" ref="B50:I73" totalsRowShown="0">
  <autoFilter ref="B50:I73" xr:uid="{8D6B857B-7926-4A1A-8242-3182565727A8}"/>
  <tableColumns count="8">
    <tableColumn id="9" xr3:uid="{07271C5B-0612-4314-8B02-DD4631065C13}" name="産業小分類上位２０"/>
    <tableColumn id="10" xr3:uid="{C4013B1D-5B5E-4318-B804-B1A264176D03}" name="総数／事業所数" dataCellStyle="桁区切り"/>
    <tableColumn id="11" xr3:uid="{8EB88759-DF64-4E87-86D0-083FC5D589A3}" name="総数／構成比" dataDxfId="16"/>
    <tableColumn id="12" xr3:uid="{0141A67C-6878-4953-A4A5-0FB5809C6EB9}" name="個人／事業所数" dataCellStyle="桁区切り"/>
    <tableColumn id="13" xr3:uid="{EC875BD4-7F97-4243-9AC2-948E75924496}" name="個人／構成比" dataDxfId="15"/>
    <tableColumn id="14" xr3:uid="{9BC15B3D-D18C-4582-9573-1BF5AB834766}" name="法人／事業所数" dataCellStyle="桁区切り"/>
    <tableColumn id="15" xr3:uid="{0AF3C501-C2D0-4213-916A-29A863E8A3D1}" name="法人／構成比" dataDxfId="14"/>
    <tableColumn id="16" xr3:uid="{A7894BB8-AC6B-4D15-8EED-C9C594FF4666}" name="法人以外の団体／事業所数" dataCellStyle="桁区切り"/>
  </tableColumns>
  <tableStyleInfo name="TableStyleMedium9" showFirstColumn="0" showLastColumn="0" showRowStripes="1" showColumnStripes="0"/>
</table>
</file>

<file path=xl/tables/table2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3" xr:uid="{CEF8501F-91B7-4ECA-949D-F95B5D32639E}" name="LTBL_27383" displayName="LTBL_27383" ref="B4:I20" totalsRowCount="1">
  <autoFilter ref="B4:I19" xr:uid="{CEF8501F-91B7-4ECA-949D-F95B5D32639E}"/>
  <tableColumns count="8">
    <tableColumn id="9" xr3:uid="{C5D7AB27-D7D1-4960-8CD7-F24C14F021E1}" name="産業大分類" totalsRowLabel="合計" totalsRowDxfId="13"/>
    <tableColumn id="10" xr3:uid="{9C2AD6A1-A7C7-4816-AB7D-66DA7C1B48A2}" name="総数／事業所数" totalsRowFunction="custom" totalsRowDxfId="12" dataCellStyle="桁区切り" totalsRowCellStyle="桁区切り">
      <totalsRowFormula>SUM(LTBL_27383[総数／事業所数])</totalsRowFormula>
    </tableColumn>
    <tableColumn id="11" xr3:uid="{8E5ED49B-E495-4AE6-A3C3-80E50C9C723F}" name="総数／構成比" dataDxfId="11"/>
    <tableColumn id="12" xr3:uid="{5F3CF8BC-A990-4F95-A960-579310E8CE96}" name="個人／事業所数" totalsRowFunction="sum" totalsRowDxfId="10" dataCellStyle="桁区切り" totalsRowCellStyle="桁区切り"/>
    <tableColumn id="13" xr3:uid="{6EEBBE73-76AB-4C42-B8E3-5F6CD40C2F73}" name="個人／構成比" dataDxfId="9"/>
    <tableColumn id="14" xr3:uid="{AA2ECA64-7FF0-45DB-9914-2B5A940E1672}" name="法人／事業所数" totalsRowFunction="sum" totalsRowDxfId="8" dataCellStyle="桁区切り" totalsRowCellStyle="桁区切り"/>
    <tableColumn id="15" xr3:uid="{906FBD5A-530C-4CB9-956C-F069B4647F26}" name="法人／構成比" dataDxfId="7"/>
    <tableColumn id="16" xr3:uid="{D15C7701-0AC7-4424-9B5F-6412D849ABFF}" name="法人以外の団体／事業所数" totalsRowFunction="sum" totalsRowDxfId="6" dataCellStyle="桁区切り" totalsRowCellStyle="桁区切り"/>
  </tableColumns>
  <tableStyleInfo name="TableStyleMedium9" showFirstColumn="0" showLastColumn="0" showRowStripes="1" showColumnStripes="0"/>
</table>
</file>

<file path=xl/tables/table2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4" xr:uid="{7F8C4077-9F5C-40CD-8193-CF73C4C5C6F9}" name="M_TABLE_27383" displayName="M_TABLE_27383" ref="B23:I47" totalsRowShown="0">
  <autoFilter ref="B23:I47" xr:uid="{7F8C4077-9F5C-40CD-8193-CF73C4C5C6F9}"/>
  <tableColumns count="8">
    <tableColumn id="9" xr3:uid="{8F39C4E5-0D51-461F-88FA-C8AA21DB108D}" name="産業中分類上位２０"/>
    <tableColumn id="10" xr3:uid="{34E373B9-5F89-4824-827A-14A6A63292C2}" name="総数／事業所数" dataCellStyle="桁区切り"/>
    <tableColumn id="11" xr3:uid="{B10C4C22-0EC8-43F5-8972-86E5AC549E13}" name="総数／構成比" dataDxfId="5"/>
    <tableColumn id="12" xr3:uid="{069CF17E-38E0-4E6E-885A-27AE8C07E8D9}" name="個人／事業所数" dataCellStyle="桁区切り"/>
    <tableColumn id="13" xr3:uid="{FB1C2CC9-DD2B-45D3-A5A0-A3FAF9A3AD12}" name="個人／構成比" dataDxfId="4"/>
    <tableColumn id="14" xr3:uid="{ADADACD7-8D41-49EF-B3EE-AD3AD23E3DA5}" name="法人／事業所数" dataCellStyle="桁区切り"/>
    <tableColumn id="15" xr3:uid="{B41FBF7C-2D4C-42C1-BB71-00AF50F74F72}" name="法人／構成比" dataDxfId="3"/>
    <tableColumn id="16" xr3:uid="{3FD11A5F-F2D3-4756-99B9-121A46268D52}" name="法人以外の団体／事業所数" dataCellStyle="桁区切り"/>
  </tableColumns>
  <tableStyleInfo name="TableStyleMedium9" showFirstColumn="0" showLastColumn="0" showRowStripes="1" showColumnStripes="0"/>
</table>
</file>

<file path=xl/tables/table2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5" xr:uid="{89C6490A-4145-4068-9B1B-FDD15CF8F1FE}" name="S_TABLE_27383" displayName="S_TABLE_27383" ref="B50:I77" totalsRowShown="0">
  <autoFilter ref="B50:I77" xr:uid="{89C6490A-4145-4068-9B1B-FDD15CF8F1FE}"/>
  <tableColumns count="8">
    <tableColumn id="9" xr3:uid="{81EE54DA-D9B4-4D16-B2EC-34C08236D582}" name="産業小分類上位２０"/>
    <tableColumn id="10" xr3:uid="{76778185-C369-4E1E-B4DF-5625D252C794}" name="総数／事業所数" dataCellStyle="桁区切り"/>
    <tableColumn id="11" xr3:uid="{A209948D-8275-496D-A72C-40832DA4AC19}" name="総数／構成比" dataDxfId="2"/>
    <tableColumn id="12" xr3:uid="{3B865D64-9851-441A-96BD-B1C64096CD1A}" name="個人／事業所数" dataCellStyle="桁区切り"/>
    <tableColumn id="13" xr3:uid="{DA604DCF-F902-46CA-82DB-7D37264CCD76}" name="個人／構成比" dataDxfId="1"/>
    <tableColumn id="14" xr3:uid="{3C43FED5-2B69-42D5-B915-8AD878621CAB}" name="法人／事業所数" dataCellStyle="桁区切り"/>
    <tableColumn id="15" xr3:uid="{3EA730FE-A051-45D6-B4BE-232670BB12FC}" name="法人／構成比" dataDxfId="0"/>
    <tableColumn id="16" xr3:uid="{192625B1-F86A-43B9-917D-6BF1AA14A710}" name="法人以外の団体／事業所数" dataCellStyle="桁区切り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8802D646-9BA4-4C1C-B0A5-4287621DB7AA}" name="M_TABLE_27108" displayName="M_TABLE_27108" ref="B23:I43" totalsRowShown="0">
  <autoFilter ref="B23:I43" xr:uid="{8802D646-9BA4-4C1C-B0A5-4287621DB7AA}"/>
  <tableColumns count="8">
    <tableColumn id="9" xr3:uid="{07F8193E-EE14-4607-B8B8-9D1AA5E81614}" name="産業中分類上位２０"/>
    <tableColumn id="10" xr3:uid="{EF44FE2C-B7F8-46D0-B967-B5480CF78F03}" name="総数／事業所数" dataCellStyle="桁区切り"/>
    <tableColumn id="11" xr3:uid="{287E6AD1-CCC2-4114-A221-C3FB63125360}" name="総数／構成比" dataDxfId="943"/>
    <tableColumn id="12" xr3:uid="{CEC667C4-6CA3-411B-A4B9-AEDC19D8F203}" name="個人／事業所数" dataCellStyle="桁区切り"/>
    <tableColumn id="13" xr3:uid="{1DC79B97-099F-4827-9C14-B89FF23CA95C}" name="個人／構成比" dataDxfId="942"/>
    <tableColumn id="14" xr3:uid="{3E241D3B-7667-4F42-8353-E110BE7F1307}" name="法人／事業所数" dataCellStyle="桁区切り"/>
    <tableColumn id="15" xr3:uid="{838FD8B2-4247-4BED-99A5-D477F92CEF22}" name="法人／構成比" dataDxfId="941"/>
    <tableColumn id="16" xr3:uid="{D54C68F2-C96E-4E59-8F55-B5C5F25DBC96}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B89B40C3-BA53-498D-BDFE-FD187F05B6B0}" name="S_TABLE_27108" displayName="S_TABLE_27108" ref="B46:I67" totalsRowShown="0">
  <autoFilter ref="B46:I67" xr:uid="{B89B40C3-BA53-498D-BDFE-FD187F05B6B0}"/>
  <tableColumns count="8">
    <tableColumn id="9" xr3:uid="{8EB643C3-1DED-4337-B481-1AAA2F4E96D0}" name="産業小分類上位２０"/>
    <tableColumn id="10" xr3:uid="{83CDDD38-7414-4A3F-BA5C-50DA08DA2C09}" name="総数／事業所数" dataCellStyle="桁区切り"/>
    <tableColumn id="11" xr3:uid="{54910EC3-2A60-4176-86E3-4B2E301A8EEC}" name="総数／構成比" dataDxfId="940"/>
    <tableColumn id="12" xr3:uid="{5126E447-E171-4F88-9878-CE898D949B04}" name="個人／事業所数" dataCellStyle="桁区切り"/>
    <tableColumn id="13" xr3:uid="{F0099364-56BF-4364-9630-31D502DF2DD9}" name="個人／構成比" dataDxfId="939"/>
    <tableColumn id="14" xr3:uid="{3672720B-DB7E-423A-95A2-63D2C55DCCE6}" name="法人／事業所数" dataCellStyle="桁区切り"/>
    <tableColumn id="15" xr3:uid="{698EA115-D53D-49FF-93EA-9AB4F2635296}" name="法人／構成比" dataDxfId="938"/>
    <tableColumn id="16" xr3:uid="{811FD9B0-8204-4A19-B8DB-7C9CBE03400D}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337B2-A8E0-42DD-A5C6-3BB68A9FF1EC}" name="LTBL_27109" displayName="LTBL_27109" ref="B4:I20" totalsRowCount="1">
  <autoFilter ref="B4:I19" xr:uid="{000337B2-A8E0-42DD-A5C6-3BB68A9FF1EC}"/>
  <tableColumns count="8">
    <tableColumn id="9" xr3:uid="{E3A3B1F3-A31F-4B3C-8FB2-F7591462A343}" name="産業大分類" totalsRowLabel="合計" totalsRowDxfId="937"/>
    <tableColumn id="10" xr3:uid="{A9267F03-541F-4FFB-BB5F-9E96FD4643F2}" name="総数／事業所数" totalsRowFunction="custom" totalsRowDxfId="936" dataCellStyle="桁区切り" totalsRowCellStyle="桁区切り">
      <totalsRowFormula>SUM(LTBL_27109[総数／事業所数])</totalsRowFormula>
    </tableColumn>
    <tableColumn id="11" xr3:uid="{077028BC-B812-46CA-8308-B80A15E77D2D}" name="総数／構成比" dataDxfId="935"/>
    <tableColumn id="12" xr3:uid="{7E6E97A9-C93F-4DC4-AE02-CD3360669F8E}" name="個人／事業所数" totalsRowFunction="sum" totalsRowDxfId="934" dataCellStyle="桁区切り" totalsRowCellStyle="桁区切り"/>
    <tableColumn id="13" xr3:uid="{2064688C-7EFC-4819-B513-26018EF56114}" name="個人／構成比" dataDxfId="933"/>
    <tableColumn id="14" xr3:uid="{5704BB0B-B47B-4F31-9374-C8516326DAE3}" name="法人／事業所数" totalsRowFunction="sum" totalsRowDxfId="932" dataCellStyle="桁区切り" totalsRowCellStyle="桁区切り"/>
    <tableColumn id="15" xr3:uid="{9EC2BF64-1015-4AFC-8B03-4FBCD5E9DA26}" name="法人／構成比" dataDxfId="931"/>
    <tableColumn id="16" xr3:uid="{10E6E9FB-F8C9-426A-8B35-4DD3134B5FBC}" name="法人以外の団体／事業所数" totalsRowFunction="sum" totalsRowDxfId="930" dataCellStyle="桁区切り" totalsRow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24CFA8B7-2183-43F9-A9BE-1C27744E6221}" name="M_TABLE_27109" displayName="M_TABLE_27109" ref="B23:I43" totalsRowShown="0">
  <autoFilter ref="B23:I43" xr:uid="{24CFA8B7-2183-43F9-A9BE-1C27744E6221}"/>
  <tableColumns count="8">
    <tableColumn id="9" xr3:uid="{95C99938-1216-4FDB-AA1A-1A07610933D5}" name="産業中分類上位２０"/>
    <tableColumn id="10" xr3:uid="{2AF6C88C-6C85-42AF-B8B8-BA7C36A6C31C}" name="総数／事業所数" dataCellStyle="桁区切り"/>
    <tableColumn id="11" xr3:uid="{6B041D11-A301-4924-BBA7-B9DD252C9C16}" name="総数／構成比" dataDxfId="929"/>
    <tableColumn id="12" xr3:uid="{6017A848-224B-4367-9882-08A8078C4D3C}" name="個人／事業所数" dataCellStyle="桁区切り"/>
    <tableColumn id="13" xr3:uid="{23C999F7-3085-443E-B827-1BC9A1230689}" name="個人／構成比" dataDxfId="928"/>
    <tableColumn id="14" xr3:uid="{F4BCF890-031F-4A2F-9BF7-58C1760F6A26}" name="法人／事業所数" dataCellStyle="桁区切り"/>
    <tableColumn id="15" xr3:uid="{E6AC4FAD-785E-43B9-ACD8-A0669D54D871}" name="法人／構成比" dataDxfId="927"/>
    <tableColumn id="16" xr3:uid="{17EDC061-E4E9-4C96-87DF-45A260EDA57D}" name="法人以外の団体／事業所数" dataCellStyle="桁区切り"/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2E32FF10-EBB0-41CA-A913-299F5912834B}" name="S_TABLE_27109" displayName="S_TABLE_27109" ref="B46:I66" totalsRowShown="0">
  <autoFilter ref="B46:I66" xr:uid="{2E32FF10-EBB0-41CA-A913-299F5912834B}"/>
  <tableColumns count="8">
    <tableColumn id="9" xr3:uid="{F4B167BA-221F-4873-A222-93F3D18565A9}" name="産業小分類上位２０"/>
    <tableColumn id="10" xr3:uid="{7DA7B422-4ADD-42BE-831F-DC186C90219A}" name="総数／事業所数" dataCellStyle="桁区切り"/>
    <tableColumn id="11" xr3:uid="{2EA54DAE-DBD7-4803-A0E7-41BD439263A7}" name="総数／構成比" dataDxfId="926"/>
    <tableColumn id="12" xr3:uid="{C725FCED-0DDF-4D8E-9ABC-6B1688E0C274}" name="個人／事業所数" dataCellStyle="桁区切り"/>
    <tableColumn id="13" xr3:uid="{97284364-8704-40F0-8DFC-A9E69AE9915A}" name="個人／構成比" dataDxfId="925"/>
    <tableColumn id="14" xr3:uid="{2C3DD884-7EE4-4106-84CD-27D4CA82A54B}" name="法人／事業所数" dataCellStyle="桁区切り"/>
    <tableColumn id="15" xr3:uid="{BF175EBA-6E59-41A5-9D94-F1E0D0413C3D}" name="法人／構成比" dataDxfId="924"/>
    <tableColumn id="16" xr3:uid="{18D6C118-00B0-4BAF-BC33-03EA39029E93}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46DC09F7-4224-423A-86A3-1D389EE7AD69}" name="LTBL_27111" displayName="LTBL_27111" ref="B4:I20" totalsRowCount="1">
  <autoFilter ref="B4:I19" xr:uid="{46DC09F7-4224-423A-86A3-1D389EE7AD69}"/>
  <tableColumns count="8">
    <tableColumn id="9" xr3:uid="{DE27C11C-0732-4B3C-9FFD-F447A3DDAFBE}" name="産業大分類" totalsRowLabel="合計" totalsRowDxfId="923"/>
    <tableColumn id="10" xr3:uid="{A85536BE-54D9-4526-BFF4-8C92CFA52757}" name="総数／事業所数" totalsRowFunction="custom" totalsRowDxfId="922" dataCellStyle="桁区切り" totalsRowCellStyle="桁区切り">
      <totalsRowFormula>SUM(LTBL_27111[総数／事業所数])</totalsRowFormula>
    </tableColumn>
    <tableColumn id="11" xr3:uid="{CD935496-53C7-44EC-B216-A4CB5E66931B}" name="総数／構成比" dataDxfId="921"/>
    <tableColumn id="12" xr3:uid="{49330079-846D-4787-8089-D7C8C724CEFA}" name="個人／事業所数" totalsRowFunction="sum" totalsRowDxfId="920" dataCellStyle="桁区切り" totalsRowCellStyle="桁区切り"/>
    <tableColumn id="13" xr3:uid="{CEBB3A6C-6A85-4F05-9BD0-AAE9BD951ACE}" name="個人／構成比" dataDxfId="919"/>
    <tableColumn id="14" xr3:uid="{DFCEF02D-BB83-4F03-900E-4A1FC75C1DC6}" name="法人／事業所数" totalsRowFunction="sum" totalsRowDxfId="918" dataCellStyle="桁区切り" totalsRowCellStyle="桁区切り"/>
    <tableColumn id="15" xr3:uid="{B25CCA0D-9642-4C04-8DA5-BE531C76478F}" name="法人／構成比" dataDxfId="917"/>
    <tableColumn id="16" xr3:uid="{DD1CA25E-2BBB-48B7-B0AF-893942CA7AE2}" name="法人以外の団体／事業所数" totalsRowFunction="sum" totalsRowDxfId="916" dataCellStyle="桁区切り" totalsRow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5B4E462D-47EC-4D5C-B83D-44BCB53BDC8E}" name="M_TABLE_27111" displayName="M_TABLE_27111" ref="B23:I43" totalsRowShown="0">
  <autoFilter ref="B23:I43" xr:uid="{5B4E462D-47EC-4D5C-B83D-44BCB53BDC8E}"/>
  <tableColumns count="8">
    <tableColumn id="9" xr3:uid="{B795FDDB-3CA6-48AB-95AB-C218AEBD228E}" name="産業中分類上位２０"/>
    <tableColumn id="10" xr3:uid="{1B4C7F54-C073-4A16-9055-D53754757E81}" name="総数／事業所数" dataCellStyle="桁区切り"/>
    <tableColumn id="11" xr3:uid="{2B6268EB-A51B-472E-8DDA-A5B040E7B724}" name="総数／構成比" dataDxfId="915"/>
    <tableColumn id="12" xr3:uid="{0470DE15-5137-40BB-AA20-7977262EF94B}" name="個人／事業所数" dataCellStyle="桁区切り"/>
    <tableColumn id="13" xr3:uid="{1F8B1D0D-74B2-4682-B27D-C70F0AD131E8}" name="個人／構成比" dataDxfId="914"/>
    <tableColumn id="14" xr3:uid="{1846F03D-7CFD-4C50-8D03-9ADB291BCAC5}" name="法人／事業所数" dataCellStyle="桁区切り"/>
    <tableColumn id="15" xr3:uid="{CCC8CE6E-FD30-4005-8250-8E8D3A184989}" name="法人／構成比" dataDxfId="913"/>
    <tableColumn id="16" xr3:uid="{C91234EA-8558-49DA-BBBA-47C8B1188C78}" name="法人以外の団体／事業所数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4585C0F-BF95-4B56-A7C6-82F7F65CD169}" name="S_TABLE_27000" displayName="S_TABLE_27000" ref="B46:I66" totalsRowShown="0">
  <autoFilter ref="B46:I66" xr:uid="{04585C0F-BF95-4B56-A7C6-82F7F65CD169}"/>
  <tableColumns count="8">
    <tableColumn id="9" xr3:uid="{8CBEE900-FD2A-4E2C-82CE-50492144CA13}" name="産業小分類上位２０"/>
    <tableColumn id="10" xr3:uid="{59EDF722-1950-4F04-8370-72E7F7D2D53C}" name="総数／事業所数" dataCellStyle="桁区切り"/>
    <tableColumn id="11" xr3:uid="{70124105-C34F-49C9-89A5-133209F9AAD8}" name="総数／構成比" dataDxfId="1038"/>
    <tableColumn id="12" xr3:uid="{899B92D7-B76D-4E7C-BFD0-275C3B8EF5EB}" name="個人／事業所数" dataCellStyle="桁区切り"/>
    <tableColumn id="13" xr3:uid="{2C00077D-8C7B-44A2-868E-DBB7E0DC9EFB}" name="個人／構成比" dataDxfId="1037"/>
    <tableColumn id="14" xr3:uid="{16C9644C-3622-420C-9A7A-E324C5A997EA}" name="法人／事業所数" dataCellStyle="桁区切り"/>
    <tableColumn id="15" xr3:uid="{28DF57C2-496A-4098-A087-0515DD0A28EA}" name="法人／構成比" dataDxfId="1036"/>
    <tableColumn id="16" xr3:uid="{C5CCA6D6-0583-4334-8D63-C7DA14693C50}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BDF1B8DC-1F08-4A94-9FC9-5D3CD38063A1}" name="S_TABLE_27111" displayName="S_TABLE_27111" ref="B46:I67" totalsRowShown="0">
  <autoFilter ref="B46:I67" xr:uid="{BDF1B8DC-1F08-4A94-9FC9-5D3CD38063A1}"/>
  <tableColumns count="8">
    <tableColumn id="9" xr3:uid="{A479FAA0-B61F-4468-9C86-B41C5FF5AF84}" name="産業小分類上位２０"/>
    <tableColumn id="10" xr3:uid="{564E4A94-06E3-4746-AF98-AB65B558E2B3}" name="総数／事業所数" dataCellStyle="桁区切り"/>
    <tableColumn id="11" xr3:uid="{47E4902C-AFB5-4C81-8E98-706393FC9E12}" name="総数／構成比" dataDxfId="912"/>
    <tableColumn id="12" xr3:uid="{F4BCDA99-48A4-46E0-A2FC-15C9D4742D90}" name="個人／事業所数" dataCellStyle="桁区切り"/>
    <tableColumn id="13" xr3:uid="{7A155194-6807-4172-8F7B-967C81C64667}" name="個人／構成比" dataDxfId="911"/>
    <tableColumn id="14" xr3:uid="{9867EB13-0DC3-4E26-BBF4-343D53241F54}" name="法人／事業所数" dataCellStyle="桁区切り"/>
    <tableColumn id="15" xr3:uid="{D5165B4D-C7AB-4E7C-95BD-2D9C672CA83B}" name="法人／構成比" dataDxfId="910"/>
    <tableColumn id="16" xr3:uid="{7FD7CF4D-7AB3-4462-B76A-3762ED31DBFA}" name="法人以外の団体／事業所数" dataCellStyle="桁区切り"/>
  </tableColumns>
  <tableStyleInfo name="TableStyleMedium9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E939622D-E3EE-49C6-A000-B7B6DBFC14C6}" name="LTBL_27113" displayName="LTBL_27113" ref="B4:I20" totalsRowCount="1">
  <autoFilter ref="B4:I19" xr:uid="{E939622D-E3EE-49C6-A000-B7B6DBFC14C6}"/>
  <tableColumns count="8">
    <tableColumn id="9" xr3:uid="{DF267697-C9D5-4168-9A6E-B86AFC75848A}" name="産業大分類" totalsRowLabel="合計" totalsRowDxfId="909"/>
    <tableColumn id="10" xr3:uid="{DB655B4C-BB40-46A1-83CB-7B086B7DEFBE}" name="総数／事業所数" totalsRowFunction="custom" totalsRowDxfId="908" dataCellStyle="桁区切り" totalsRowCellStyle="桁区切り">
      <totalsRowFormula>SUM(LTBL_27113[総数／事業所数])</totalsRowFormula>
    </tableColumn>
    <tableColumn id="11" xr3:uid="{34770F93-3650-4168-8DE4-6104626301E8}" name="総数／構成比" dataDxfId="907"/>
    <tableColumn id="12" xr3:uid="{54CCE36A-AA13-4B16-A4C2-67F452378FFB}" name="個人／事業所数" totalsRowFunction="sum" totalsRowDxfId="906" dataCellStyle="桁区切り" totalsRowCellStyle="桁区切り"/>
    <tableColumn id="13" xr3:uid="{2F7B77D2-C4EC-4D0F-B730-319B7F64278D}" name="個人／構成比" dataDxfId="905"/>
    <tableColumn id="14" xr3:uid="{538DBC54-C2C9-4606-88F7-C1228FB583A2}" name="法人／事業所数" totalsRowFunction="sum" totalsRowDxfId="904" dataCellStyle="桁区切り" totalsRowCellStyle="桁区切り"/>
    <tableColumn id="15" xr3:uid="{AE45EB22-BAE1-4551-8D84-CFBC3C8C402F}" name="法人／構成比" dataDxfId="903"/>
    <tableColumn id="16" xr3:uid="{007A4F22-C4C2-405A-81BF-7E5DA4497210}" name="法人以外の団体／事業所数" totalsRowFunction="sum" totalsRowDxfId="902" dataCellStyle="桁区切り" totalsRow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4BE848C1-137F-4FD4-B642-0DBA33F176A7}" name="M_TABLE_27113" displayName="M_TABLE_27113" ref="B23:I43" totalsRowShown="0">
  <autoFilter ref="B23:I43" xr:uid="{4BE848C1-137F-4FD4-B642-0DBA33F176A7}"/>
  <tableColumns count="8">
    <tableColumn id="9" xr3:uid="{E08183C6-F9A9-48D8-B4D0-2A1855E69944}" name="産業中分類上位２０"/>
    <tableColumn id="10" xr3:uid="{6C8603A6-32C1-4201-8FFA-6D879191F856}" name="総数／事業所数" dataCellStyle="桁区切り"/>
    <tableColumn id="11" xr3:uid="{BB17D70B-5480-4203-86AF-5DAF73BD5D13}" name="総数／構成比" dataDxfId="901"/>
    <tableColumn id="12" xr3:uid="{5F1F99A6-B81E-4760-BED8-8F0E72BC3D32}" name="個人／事業所数" dataCellStyle="桁区切り"/>
    <tableColumn id="13" xr3:uid="{397A062D-286E-4F34-84AD-2CF027D520DB}" name="個人／構成比" dataDxfId="900"/>
    <tableColumn id="14" xr3:uid="{0D395DF2-82A7-4AF8-9B57-E7DFDD4A809A}" name="法人／事業所数" dataCellStyle="桁区切り"/>
    <tableColumn id="15" xr3:uid="{47301AB6-E9A8-48A1-BDDD-89C05152C6A7}" name="法人／構成比" dataDxfId="899"/>
    <tableColumn id="16" xr3:uid="{A0C67159-FC9E-4431-BB4F-694CFBD45CFB}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3BC1B312-239E-4225-87E7-C34F15D520D0}" name="S_TABLE_27113" displayName="S_TABLE_27113" ref="B46:I66" totalsRowShown="0">
  <autoFilter ref="B46:I66" xr:uid="{3BC1B312-239E-4225-87E7-C34F15D520D0}"/>
  <tableColumns count="8">
    <tableColumn id="9" xr3:uid="{8AA529E9-B17F-4D5F-ADE2-AEAF4ED1E5EF}" name="産業小分類上位２０"/>
    <tableColumn id="10" xr3:uid="{4C7A8697-BC08-4DEF-AEA3-0162F7FBFF29}" name="総数／事業所数" dataCellStyle="桁区切り"/>
    <tableColumn id="11" xr3:uid="{B8D1A10A-5BA2-4CB4-8F85-62FC738AE0C6}" name="総数／構成比" dataDxfId="898"/>
    <tableColumn id="12" xr3:uid="{15B4A779-0C27-40B6-9562-A22DB5F64E8D}" name="個人／事業所数" dataCellStyle="桁区切り"/>
    <tableColumn id="13" xr3:uid="{7C6B1C49-B7AD-43F6-84B1-85D9CEE63458}" name="個人／構成比" dataDxfId="897"/>
    <tableColumn id="14" xr3:uid="{E6014C4C-42BB-4882-837D-7D6E4615827E}" name="法人／事業所数" dataCellStyle="桁区切り"/>
    <tableColumn id="15" xr3:uid="{3E2250A6-B6EE-4234-8B6C-046B62104843}" name="法人／構成比" dataDxfId="896"/>
    <tableColumn id="16" xr3:uid="{F1323889-6AC3-42F4-B13A-B04F8E755782}" name="法人以外の団体／事業所数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3F612173-06B4-4B04-B4EF-CD99926090F9}" name="LTBL_27114" displayName="LTBL_27114" ref="B4:I20" totalsRowCount="1">
  <autoFilter ref="B4:I19" xr:uid="{3F612173-06B4-4B04-B4EF-CD99926090F9}"/>
  <tableColumns count="8">
    <tableColumn id="9" xr3:uid="{E68518DF-C4E5-4477-B482-215B8DDDC4FF}" name="産業大分類" totalsRowLabel="合計" totalsRowDxfId="895"/>
    <tableColumn id="10" xr3:uid="{BF904F2C-9CFA-41B1-B775-FC6E76ACC8DB}" name="総数／事業所数" totalsRowFunction="custom" totalsRowDxfId="894" dataCellStyle="桁区切り" totalsRowCellStyle="桁区切り">
      <totalsRowFormula>SUM(LTBL_27114[総数／事業所数])</totalsRowFormula>
    </tableColumn>
    <tableColumn id="11" xr3:uid="{BD408D13-AE4C-4A1D-97BD-44F4CB1F0609}" name="総数／構成比" dataDxfId="893"/>
    <tableColumn id="12" xr3:uid="{D4B01DBA-E9FB-44A7-9312-F0B408A02E43}" name="個人／事業所数" totalsRowFunction="sum" totalsRowDxfId="892" dataCellStyle="桁区切り" totalsRowCellStyle="桁区切り"/>
    <tableColumn id="13" xr3:uid="{804C77BE-669E-43F7-999C-CCCEF61D6D3E}" name="個人／構成比" dataDxfId="891"/>
    <tableColumn id="14" xr3:uid="{7D02ED7B-E663-4261-ABDD-E88AF709FD80}" name="法人／事業所数" totalsRowFunction="sum" totalsRowDxfId="890" dataCellStyle="桁区切り" totalsRowCellStyle="桁区切り"/>
    <tableColumn id="15" xr3:uid="{13A272ED-CF98-45B3-9B99-4BA857B09F8D}" name="法人／構成比" dataDxfId="889"/>
    <tableColumn id="16" xr3:uid="{3EFA5F0A-54D7-484E-8724-7C41BAC5C0D7}" name="法人以外の団体／事業所数" totalsRowFunction="sum" totalsRowDxfId="888" dataCellStyle="桁区切り" totalsRowCellStyle="桁区切り"/>
  </tableColumns>
  <tableStyleInfo name="TableStyleMedium9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72E4FB30-405B-41EE-8858-A0A2ECB6AB41}" name="M_TABLE_27114" displayName="M_TABLE_27114" ref="B23:I43" totalsRowShown="0">
  <autoFilter ref="B23:I43" xr:uid="{72E4FB30-405B-41EE-8858-A0A2ECB6AB41}"/>
  <tableColumns count="8">
    <tableColumn id="9" xr3:uid="{D0F92FAD-E24C-414F-B80C-FACF13860FD5}" name="産業中分類上位２０"/>
    <tableColumn id="10" xr3:uid="{A2457FA6-1194-4E4B-B092-84C7CE8E64B7}" name="総数／事業所数" dataCellStyle="桁区切り"/>
    <tableColumn id="11" xr3:uid="{791F9852-8B49-4321-AEC6-59DB0FBE29A7}" name="総数／構成比" dataDxfId="887"/>
    <tableColumn id="12" xr3:uid="{87F58547-C10F-424E-AA3F-7CD056A85514}" name="個人／事業所数" dataCellStyle="桁区切り"/>
    <tableColumn id="13" xr3:uid="{5682A0F0-D06F-4024-99A5-273E992F6CEC}" name="個人／構成比" dataDxfId="886"/>
    <tableColumn id="14" xr3:uid="{C5EAA05A-EBFD-407E-AD11-9B6FCEEC6C61}" name="法人／事業所数" dataCellStyle="桁区切り"/>
    <tableColumn id="15" xr3:uid="{D51B732B-8E0F-40F3-B0ED-E6AEA49AF57E}" name="法人／構成比" dataDxfId="885"/>
    <tableColumn id="16" xr3:uid="{3C298CFA-B9D1-41AC-A650-D302F6D1801D}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24CC584E-FA96-442E-95E8-E4FFD01DD81B}" name="S_TABLE_27114" displayName="S_TABLE_27114" ref="B46:I66" totalsRowShown="0">
  <autoFilter ref="B46:I66" xr:uid="{24CC584E-FA96-442E-95E8-E4FFD01DD81B}"/>
  <tableColumns count="8">
    <tableColumn id="9" xr3:uid="{8DF6105D-E4B5-400C-8008-B8E876C6B19D}" name="産業小分類上位２０"/>
    <tableColumn id="10" xr3:uid="{C89E5D30-6A84-406E-B535-09664C8018A5}" name="総数／事業所数" dataCellStyle="桁区切り"/>
    <tableColumn id="11" xr3:uid="{8B06DEB1-F8F6-4766-9548-0099C6B30B50}" name="総数／構成比" dataDxfId="884"/>
    <tableColumn id="12" xr3:uid="{0170AB2C-DF3E-4A7C-9186-ADD157255FDC}" name="個人／事業所数" dataCellStyle="桁区切り"/>
    <tableColumn id="13" xr3:uid="{4EFC3C4A-2D97-429A-A06C-5E5AA8F6603E}" name="個人／構成比" dataDxfId="883"/>
    <tableColumn id="14" xr3:uid="{DDB838FC-59D4-4D2F-A5A0-9520844998AD}" name="法人／事業所数" dataCellStyle="桁区切り"/>
    <tableColumn id="15" xr3:uid="{434CEE76-1599-41A3-93B5-6A4423F04DD2}" name="法人／構成比" dataDxfId="882"/>
    <tableColumn id="16" xr3:uid="{C96C9817-FB60-49E8-A4A2-C2500F3318B3}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A8BF6DF6-3FF8-415C-8F9A-574CB3E96A80}" name="LTBL_27115" displayName="LTBL_27115" ref="B4:I20" totalsRowCount="1">
  <autoFilter ref="B4:I19" xr:uid="{A8BF6DF6-3FF8-415C-8F9A-574CB3E96A80}"/>
  <tableColumns count="8">
    <tableColumn id="9" xr3:uid="{D138CAAB-0515-4274-9004-12B0A6A6A8D4}" name="産業大分類" totalsRowLabel="合計" totalsRowDxfId="881"/>
    <tableColumn id="10" xr3:uid="{DCA7AC1A-48FB-410E-941D-31BFF22B730E}" name="総数／事業所数" totalsRowFunction="custom" totalsRowDxfId="880" dataCellStyle="桁区切り" totalsRowCellStyle="桁区切り">
      <totalsRowFormula>SUM(LTBL_27115[総数／事業所数])</totalsRowFormula>
    </tableColumn>
    <tableColumn id="11" xr3:uid="{DDBCEA0F-1D2C-4B74-BF01-98BBF6B2F658}" name="総数／構成比" dataDxfId="879"/>
    <tableColumn id="12" xr3:uid="{EAA8F0A9-D6BD-4A8F-A73C-0D4848EFADA4}" name="個人／事業所数" totalsRowFunction="sum" totalsRowDxfId="878" dataCellStyle="桁区切り" totalsRowCellStyle="桁区切り"/>
    <tableColumn id="13" xr3:uid="{25E04A4C-BA4E-499B-874E-C0FC7947C26B}" name="個人／構成比" dataDxfId="877"/>
    <tableColumn id="14" xr3:uid="{F0432876-8FDB-42EB-9A84-1D9495A9F8A0}" name="法人／事業所数" totalsRowFunction="sum" totalsRowDxfId="876" dataCellStyle="桁区切り" totalsRowCellStyle="桁区切り"/>
    <tableColumn id="15" xr3:uid="{D16611BE-80FF-4340-9C37-534D54FAAAD6}" name="法人／構成比" dataDxfId="875"/>
    <tableColumn id="16" xr3:uid="{3352DC61-261D-4A75-9DFB-857581FF589E}" name="法人以外の団体／事業所数" totalsRowFunction="sum" totalsRowDxfId="874" dataCellStyle="桁区切り" totalsRow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CB7924F4-924E-4F0A-AE44-7F779F75736A}" name="M_TABLE_27115" displayName="M_TABLE_27115" ref="B23:I43" totalsRowShown="0">
  <autoFilter ref="B23:I43" xr:uid="{CB7924F4-924E-4F0A-AE44-7F779F75736A}"/>
  <tableColumns count="8">
    <tableColumn id="9" xr3:uid="{8DDE629C-86A1-49CB-8197-9229908626B5}" name="産業中分類上位２０"/>
    <tableColumn id="10" xr3:uid="{77492FA7-886A-497B-BDE9-7E53124C6446}" name="総数／事業所数" dataCellStyle="桁区切り"/>
    <tableColumn id="11" xr3:uid="{C660D8C1-7052-4DA5-BAE3-BD83768C45B5}" name="総数／構成比" dataDxfId="873"/>
    <tableColumn id="12" xr3:uid="{3A577BB3-E7E4-4182-A39A-52D06F7A51B3}" name="個人／事業所数" dataCellStyle="桁区切り"/>
    <tableColumn id="13" xr3:uid="{B44D6B84-C401-487D-BAAE-0647F012BED2}" name="個人／構成比" dataDxfId="872"/>
    <tableColumn id="14" xr3:uid="{7E762EDC-E048-4589-B22D-6CF9321A966D}" name="法人／事業所数" dataCellStyle="桁区切り"/>
    <tableColumn id="15" xr3:uid="{448027F7-A571-43F2-8465-230E30446254}" name="法人／構成比" dataDxfId="871"/>
    <tableColumn id="16" xr3:uid="{70F40198-2349-4EB6-99BE-5FD3DD276E09}" name="法人以外の団体／事業所数" dataCellStyle="桁区切り"/>
  </tableColumns>
  <tableStyleInfo name="TableStyleMedium9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B664544-99C9-4FF6-B394-48FAE12F2FC5}" name="S_TABLE_27115" displayName="S_TABLE_27115" ref="B46:I66" totalsRowShown="0">
  <autoFilter ref="B46:I66" xr:uid="{0B664544-99C9-4FF6-B394-48FAE12F2FC5}"/>
  <tableColumns count="8">
    <tableColumn id="9" xr3:uid="{92F51C96-1DF5-4DEB-B5D8-3A403C0A9A09}" name="産業小分類上位２０"/>
    <tableColumn id="10" xr3:uid="{0194F909-C769-454A-A291-6D667D1D384D}" name="総数／事業所数" dataCellStyle="桁区切り"/>
    <tableColumn id="11" xr3:uid="{B373D52A-F2E2-40BF-9F01-0C81E01763BA}" name="総数／構成比" dataDxfId="870"/>
    <tableColumn id="12" xr3:uid="{E384BC77-3816-4E11-BC98-6A135AE03CE2}" name="個人／事業所数" dataCellStyle="桁区切り"/>
    <tableColumn id="13" xr3:uid="{FD3A99D6-FA1A-46F3-8E7C-B5F1BAD79778}" name="個人／構成比" dataDxfId="869"/>
    <tableColumn id="14" xr3:uid="{737DB41E-8E7A-4A8F-8659-48A96AD3BCF3}" name="法人／事業所数" dataCellStyle="桁区切り"/>
    <tableColumn id="15" xr3:uid="{B3F06AFE-B602-4C76-A769-EDEB9B4576F6}" name="法人／構成比" dataDxfId="868"/>
    <tableColumn id="16" xr3:uid="{A9F35587-6CC5-4500-9C92-3CB2E50BA960}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DC7ECE7-27E9-461D-B41C-2734720FA7CF}" name="LTBL_27100" displayName="LTBL_27100" ref="B4:I20" totalsRowCount="1">
  <autoFilter ref="B4:I19" xr:uid="{7DC7ECE7-27E9-461D-B41C-2734720FA7CF}"/>
  <tableColumns count="8">
    <tableColumn id="9" xr3:uid="{0F7199A6-D8D2-4B3F-BF6E-0760FD527723}" name="産業大分類" totalsRowLabel="合計" totalsRowDxfId="1035"/>
    <tableColumn id="10" xr3:uid="{233F5D5D-8F65-4A25-A382-DF91278CBBD5}" name="総数／事業所数" totalsRowFunction="custom" totalsRowDxfId="1034" dataCellStyle="桁区切り" totalsRowCellStyle="桁区切り">
      <totalsRowFormula>SUM(LTBL_27100[総数／事業所数])</totalsRowFormula>
    </tableColumn>
    <tableColumn id="11" xr3:uid="{429B37C9-BD86-4D43-A91E-81D00658006E}" name="総数／構成比" dataDxfId="1033"/>
    <tableColumn id="12" xr3:uid="{B14DE223-1859-4211-8601-FC0D0EC7E084}" name="個人／事業所数" totalsRowFunction="sum" totalsRowDxfId="1032" dataCellStyle="桁区切り" totalsRowCellStyle="桁区切り"/>
    <tableColumn id="13" xr3:uid="{68EE16FD-04A8-403E-9525-891B4C3176F3}" name="個人／構成比" dataDxfId="1031"/>
    <tableColumn id="14" xr3:uid="{B45D548D-82FF-4C59-A77A-65949154B964}" name="法人／事業所数" totalsRowFunction="sum" totalsRowDxfId="1030" dataCellStyle="桁区切り" totalsRowCellStyle="桁区切り"/>
    <tableColumn id="15" xr3:uid="{14BA7474-1242-41A6-BD45-DE65D0DC5C63}" name="法人／構成比" dataDxfId="1029"/>
    <tableColumn id="16" xr3:uid="{8C3C1E28-1EE0-4918-9C09-408BDDEC5857}" name="法人以外の団体／事業所数" totalsRowFunction="sum" totalsRowDxfId="1028" dataCellStyle="桁区切り" totalsRow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DB67F29C-469F-4DA2-8F54-52F491629124}" name="LTBL_27116" displayName="LTBL_27116" ref="B4:I20" totalsRowCount="1">
  <autoFilter ref="B4:I19" xr:uid="{DB67F29C-469F-4DA2-8F54-52F491629124}"/>
  <tableColumns count="8">
    <tableColumn id="9" xr3:uid="{37F8BFAB-7CFC-488F-BD38-7F754D47C1DB}" name="産業大分類" totalsRowLabel="合計" totalsRowDxfId="867"/>
    <tableColumn id="10" xr3:uid="{94C71F02-172F-4653-8F08-90F44D163707}" name="総数／事業所数" totalsRowFunction="custom" totalsRowDxfId="866" dataCellStyle="桁区切り" totalsRowCellStyle="桁区切り">
      <totalsRowFormula>SUM(LTBL_27116[総数／事業所数])</totalsRowFormula>
    </tableColumn>
    <tableColumn id="11" xr3:uid="{CA41F3AE-8852-4FC9-903A-6CE62ADD4C2B}" name="総数／構成比" dataDxfId="865"/>
    <tableColumn id="12" xr3:uid="{30355A51-4485-4883-B29F-36298205D7D9}" name="個人／事業所数" totalsRowFunction="sum" totalsRowDxfId="864" dataCellStyle="桁区切り" totalsRowCellStyle="桁区切り"/>
    <tableColumn id="13" xr3:uid="{483993EE-F610-40DE-A854-4063468310BA}" name="個人／構成比" dataDxfId="863"/>
    <tableColumn id="14" xr3:uid="{02DC8ECE-84DF-4670-B5B0-59AAFD197368}" name="法人／事業所数" totalsRowFunction="sum" totalsRowDxfId="862" dataCellStyle="桁区切り" totalsRowCellStyle="桁区切り"/>
    <tableColumn id="15" xr3:uid="{16FD3F82-AAAD-4718-8600-5B1F7E5393FC}" name="法人／構成比" dataDxfId="861"/>
    <tableColumn id="16" xr3:uid="{E7807CFE-9686-49E1-884F-66808D0C9CC1}" name="法人以外の団体／事業所数" totalsRowFunction="sum" totalsRowDxfId="860" dataCellStyle="桁区切り" totalsRow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563ECF5C-EF9F-4080-A7B7-D80C37F8681E}" name="M_TABLE_27116" displayName="M_TABLE_27116" ref="B23:I43" totalsRowShown="0">
  <autoFilter ref="B23:I43" xr:uid="{563ECF5C-EF9F-4080-A7B7-D80C37F8681E}"/>
  <tableColumns count="8">
    <tableColumn id="9" xr3:uid="{2D26DE2A-9CFA-4A23-9863-08D6153FF189}" name="産業中分類上位２０"/>
    <tableColumn id="10" xr3:uid="{C85F2109-44AC-4A6C-A3C5-7CC00D897E9F}" name="総数／事業所数" dataCellStyle="桁区切り"/>
    <tableColumn id="11" xr3:uid="{E471EEC4-0A6D-4CD2-A2EA-4E696FF3EE1B}" name="総数／構成比" dataDxfId="859"/>
    <tableColumn id="12" xr3:uid="{11BDBCB9-7479-440C-B9C5-73FB2599A222}" name="個人／事業所数" dataCellStyle="桁区切り"/>
    <tableColumn id="13" xr3:uid="{1FB1C3B0-2FB2-45FF-B7B4-C936EAF48767}" name="個人／構成比" dataDxfId="858"/>
    <tableColumn id="14" xr3:uid="{2E224AF0-0B67-41E1-95B9-05357752CB4C}" name="法人／事業所数" dataCellStyle="桁区切り"/>
    <tableColumn id="15" xr3:uid="{139A2D11-204D-4439-B23F-AD2BED938779}" name="法人／構成比" dataDxfId="857"/>
    <tableColumn id="16" xr3:uid="{005739CA-7173-45B4-BAF5-94FD80EE29C7}" name="法人以外の団体／事業所数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8CFDFFFC-059F-4E2B-99EE-4A99A9D2013F}" name="S_TABLE_27116" displayName="S_TABLE_27116" ref="B46:I66" totalsRowShown="0">
  <autoFilter ref="B46:I66" xr:uid="{8CFDFFFC-059F-4E2B-99EE-4A99A9D2013F}"/>
  <tableColumns count="8">
    <tableColumn id="9" xr3:uid="{93E9FBE3-965F-4EA5-A194-E77C2BDCB864}" name="産業小分類上位２０"/>
    <tableColumn id="10" xr3:uid="{0509E92D-D801-489F-BA9C-2059CFC31D12}" name="総数／事業所数" dataCellStyle="桁区切り"/>
    <tableColumn id="11" xr3:uid="{10F23DB8-9ED9-4997-B73A-44C69E04F36C}" name="総数／構成比" dataDxfId="856"/>
    <tableColumn id="12" xr3:uid="{DFE060D5-7CD9-4DAA-BAC2-CA0683CCF9C6}" name="個人／事業所数" dataCellStyle="桁区切り"/>
    <tableColumn id="13" xr3:uid="{633DDA3C-E7DA-4E5A-9021-F75EF7503B88}" name="個人／構成比" dataDxfId="855"/>
    <tableColumn id="14" xr3:uid="{9F4F3987-B407-46C8-AB99-92D0262D99DC}" name="法人／事業所数" dataCellStyle="桁区切り"/>
    <tableColumn id="15" xr3:uid="{0A6D962B-F505-4FB4-99A9-B5A21049B7B1}" name="法人／構成比" dataDxfId="854"/>
    <tableColumn id="16" xr3:uid="{CC137417-3C47-4AAB-A181-3307A3CAA0C7}" name="法人以外の団体／事業所数" dataCellStyle="桁区切り"/>
  </tableColumns>
  <tableStyleInfo name="TableStyleMedium9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33066934-C26A-4FCF-AE54-0BAA725592F9}" name="LTBL_27117" displayName="LTBL_27117" ref="B4:I20" totalsRowCount="1">
  <autoFilter ref="B4:I19" xr:uid="{33066934-C26A-4FCF-AE54-0BAA725592F9}"/>
  <tableColumns count="8">
    <tableColumn id="9" xr3:uid="{EE86FF48-66DF-4CA8-9992-4621BF484FA3}" name="産業大分類" totalsRowLabel="合計" totalsRowDxfId="853"/>
    <tableColumn id="10" xr3:uid="{77DA06BB-5834-4779-B71B-05863BBBB87F}" name="総数／事業所数" totalsRowFunction="custom" totalsRowDxfId="852" dataCellStyle="桁区切り" totalsRowCellStyle="桁区切り">
      <totalsRowFormula>SUM(LTBL_27117[総数／事業所数])</totalsRowFormula>
    </tableColumn>
    <tableColumn id="11" xr3:uid="{35CF2570-A087-46F6-9CB3-0C01D20FE2EB}" name="総数／構成比" dataDxfId="851"/>
    <tableColumn id="12" xr3:uid="{15766990-AF23-4556-8F40-1136BD384623}" name="個人／事業所数" totalsRowFunction="sum" totalsRowDxfId="850" dataCellStyle="桁区切り" totalsRowCellStyle="桁区切り"/>
    <tableColumn id="13" xr3:uid="{A27F0592-2E26-458C-B081-C39943C82913}" name="個人／構成比" dataDxfId="849"/>
    <tableColumn id="14" xr3:uid="{899C6418-6B35-4BBE-8921-04DEDE63C418}" name="法人／事業所数" totalsRowFunction="sum" totalsRowDxfId="848" dataCellStyle="桁区切り" totalsRowCellStyle="桁区切り"/>
    <tableColumn id="15" xr3:uid="{B1A98F1C-C8D4-4FCB-A8A9-6A3C62B545D8}" name="法人／構成比" dataDxfId="847"/>
    <tableColumn id="16" xr3:uid="{BE9DD00C-DF49-46A0-BB65-085D18E60191}" name="法人以外の団体／事業所数" totalsRowFunction="sum" totalsRowDxfId="846" dataCellStyle="桁区切り" totalsRow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61337C06-66AC-4D7B-91BA-17BF41961AA6}" name="M_TABLE_27117" displayName="M_TABLE_27117" ref="B23:I43" totalsRowShown="0">
  <autoFilter ref="B23:I43" xr:uid="{61337C06-66AC-4D7B-91BA-17BF41961AA6}"/>
  <tableColumns count="8">
    <tableColumn id="9" xr3:uid="{BCDE9FE6-7D65-4C82-A0D6-08D8739B3DE5}" name="産業中分類上位２０"/>
    <tableColumn id="10" xr3:uid="{E608AE6D-2AD0-4213-87F7-740F054D7A91}" name="総数／事業所数" dataCellStyle="桁区切り"/>
    <tableColumn id="11" xr3:uid="{0703F32C-E43A-42BD-82B7-6B7456835739}" name="総数／構成比" dataDxfId="845"/>
    <tableColumn id="12" xr3:uid="{30FC0583-361D-48B9-892B-C292962CDEEF}" name="個人／事業所数" dataCellStyle="桁区切り"/>
    <tableColumn id="13" xr3:uid="{0C09AA55-7C9A-46BC-9894-C0B3BA4F3D28}" name="個人／構成比" dataDxfId="844"/>
    <tableColumn id="14" xr3:uid="{BD1E17D3-E8A4-4599-8232-CB61F152A1FC}" name="法人／事業所数" dataCellStyle="桁区切り"/>
    <tableColumn id="15" xr3:uid="{0402921C-B043-465F-BEF6-09DA6B244762}" name="法人／構成比" dataDxfId="843"/>
    <tableColumn id="16" xr3:uid="{D1679470-B2AC-47C1-B70A-11E3BB17A488}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3E65E439-A137-4F97-9189-C33AF9AA13BF}" name="S_TABLE_27117" displayName="S_TABLE_27117" ref="B46:I68" totalsRowShown="0">
  <autoFilter ref="B46:I68" xr:uid="{3E65E439-A137-4F97-9189-C33AF9AA13BF}"/>
  <tableColumns count="8">
    <tableColumn id="9" xr3:uid="{730507EE-E885-4563-9473-7CFB35A99DD0}" name="産業小分類上位２０"/>
    <tableColumn id="10" xr3:uid="{EC3FEFC1-5BC4-4671-9169-9268F14AB6D3}" name="総数／事業所数" dataCellStyle="桁区切り"/>
    <tableColumn id="11" xr3:uid="{DC89DB96-1586-4678-8B6B-04B60D9493FE}" name="総数／構成比" dataDxfId="842"/>
    <tableColumn id="12" xr3:uid="{D1E3871E-22EC-4901-A310-AB27958CDFF7}" name="個人／事業所数" dataCellStyle="桁区切り"/>
    <tableColumn id="13" xr3:uid="{9E059B9C-F174-4889-8DE6-F8EB74AD446D}" name="個人／構成比" dataDxfId="841"/>
    <tableColumn id="14" xr3:uid="{BC28C80B-E418-4F46-8F6C-F90C585081B0}" name="法人／事業所数" dataCellStyle="桁区切り"/>
    <tableColumn id="15" xr3:uid="{FFF494EE-C7A6-45BC-8E3B-6ADD2F113C77}" name="法人／構成比" dataDxfId="840"/>
    <tableColumn id="16" xr3:uid="{7B802F20-730D-478F-BFA4-B08AF7266D9A}" name="法人以外の団体／事業所数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34B529D-BC83-4CEF-85C7-F9D3892EAAAC}" name="LTBL_27118" displayName="LTBL_27118" ref="B4:I20" totalsRowCount="1">
  <autoFilter ref="B4:I19" xr:uid="{034B529D-BC83-4CEF-85C7-F9D3892EAAAC}"/>
  <tableColumns count="8">
    <tableColumn id="9" xr3:uid="{FA082F8A-3E62-417A-B286-76AC9F5A6AF4}" name="産業大分類" totalsRowLabel="合計" totalsRowDxfId="839"/>
    <tableColumn id="10" xr3:uid="{DE87C974-9233-41AF-825B-B17F275ED6EA}" name="総数／事業所数" totalsRowFunction="custom" totalsRowDxfId="838" dataCellStyle="桁区切り" totalsRowCellStyle="桁区切り">
      <totalsRowFormula>SUM(LTBL_27118[総数／事業所数])</totalsRowFormula>
    </tableColumn>
    <tableColumn id="11" xr3:uid="{462A4411-9F7D-4BBF-B888-FCC4078965E1}" name="総数／構成比" dataDxfId="837"/>
    <tableColumn id="12" xr3:uid="{CFEA909B-8C4D-490A-9E39-309FC2E2F11E}" name="個人／事業所数" totalsRowFunction="sum" totalsRowDxfId="836" dataCellStyle="桁区切り" totalsRowCellStyle="桁区切り"/>
    <tableColumn id="13" xr3:uid="{501BA75B-9F96-4AC6-A68A-C2912E56C330}" name="個人／構成比" dataDxfId="835"/>
    <tableColumn id="14" xr3:uid="{5A4C7A9C-1ABA-464B-A003-6A6D8FFE383D}" name="法人／事業所数" totalsRowFunction="sum" totalsRowDxfId="834" dataCellStyle="桁区切り" totalsRowCellStyle="桁区切り"/>
    <tableColumn id="15" xr3:uid="{CCEE0201-8F9A-47EC-B439-58C8A81A0442}" name="法人／構成比" dataDxfId="833"/>
    <tableColumn id="16" xr3:uid="{252B9C1F-7AB6-427B-8F70-EF0D52AB5444}" name="法人以外の団体／事業所数" totalsRowFunction="sum" totalsRowDxfId="832" dataCellStyle="桁区切り" totalsRowCellStyle="桁区切り"/>
  </tableColumns>
  <tableStyleInfo name="TableStyleMedium9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C4991365-8755-4590-8031-11CF68CF4A36}" name="M_TABLE_27118" displayName="M_TABLE_27118" ref="B23:I43" totalsRowShown="0">
  <autoFilter ref="B23:I43" xr:uid="{C4991365-8755-4590-8031-11CF68CF4A36}"/>
  <tableColumns count="8">
    <tableColumn id="9" xr3:uid="{F72D1492-D854-4085-82D5-94156B6F4251}" name="産業中分類上位２０"/>
    <tableColumn id="10" xr3:uid="{AA0999F9-702F-49E1-9B1A-E03579A236B9}" name="総数／事業所数" dataCellStyle="桁区切り"/>
    <tableColumn id="11" xr3:uid="{6AB0D929-20E9-4970-AFA2-1A038E886933}" name="総数／構成比" dataDxfId="831"/>
    <tableColumn id="12" xr3:uid="{9B57A75C-B038-47F2-8B0E-3A1CD183597B}" name="個人／事業所数" dataCellStyle="桁区切り"/>
    <tableColumn id="13" xr3:uid="{973ECE67-742F-495C-9BE0-290990E3F19A}" name="個人／構成比" dataDxfId="830"/>
    <tableColumn id="14" xr3:uid="{DE92D40C-0CB4-4BAB-86CF-DF02A0EBE59F}" name="法人／事業所数" dataCellStyle="桁区切り"/>
    <tableColumn id="15" xr3:uid="{3B6C5E55-52BA-4AB1-A2DC-29CA6D10516A}" name="法人／構成比" dataDxfId="829"/>
    <tableColumn id="16" xr3:uid="{B5186DFD-6158-4AA3-9B86-46C64372F559}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84362305-4523-4731-8464-8C13E1661AEC}" name="S_TABLE_27118" displayName="S_TABLE_27118" ref="B46:I68" totalsRowShown="0">
  <autoFilter ref="B46:I68" xr:uid="{84362305-4523-4731-8464-8C13E1661AEC}"/>
  <tableColumns count="8">
    <tableColumn id="9" xr3:uid="{2B08BD2E-1103-4C17-8001-CF90A7E2E678}" name="産業小分類上位２０"/>
    <tableColumn id="10" xr3:uid="{A66FF0EE-9116-4DCA-AAC9-3B61A915E2BF}" name="総数／事業所数" dataCellStyle="桁区切り"/>
    <tableColumn id="11" xr3:uid="{6230D318-A239-4AC1-A71C-7A4462FD8953}" name="総数／構成比" dataDxfId="828"/>
    <tableColumn id="12" xr3:uid="{0C341152-04E6-4193-AAEB-CBD7D3E3C779}" name="個人／事業所数" dataCellStyle="桁区切り"/>
    <tableColumn id="13" xr3:uid="{42F585BE-F183-4071-931D-6DF56E8027BD}" name="個人／構成比" dataDxfId="827"/>
    <tableColumn id="14" xr3:uid="{928AE089-1308-4FBF-84A0-0EC4C7A5E8A0}" name="法人／事業所数" dataCellStyle="桁区切り"/>
    <tableColumn id="15" xr3:uid="{E82A38A7-5957-497F-AEE6-4ED7BE98EAF9}" name="法人／構成比" dataDxfId="826"/>
    <tableColumn id="16" xr3:uid="{DCFD7F2A-0F13-4922-9304-6CECE62074ED}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E5E42F9B-EB00-4B40-B65D-A80A3506104A}" name="LTBL_27119" displayName="LTBL_27119" ref="B4:I20" totalsRowCount="1">
  <autoFilter ref="B4:I19" xr:uid="{E5E42F9B-EB00-4B40-B65D-A80A3506104A}"/>
  <tableColumns count="8">
    <tableColumn id="9" xr3:uid="{14F82BE9-F402-4AAB-BDCF-777B4F5AE8F5}" name="産業大分類" totalsRowLabel="合計" totalsRowDxfId="825"/>
    <tableColumn id="10" xr3:uid="{A96EE1D9-B697-4C3F-93D4-F6039DA5E017}" name="総数／事業所数" totalsRowFunction="custom" totalsRowDxfId="824" dataCellStyle="桁区切り" totalsRowCellStyle="桁区切り">
      <totalsRowFormula>SUM(LTBL_27119[総数／事業所数])</totalsRowFormula>
    </tableColumn>
    <tableColumn id="11" xr3:uid="{AABB6736-7784-46A2-97A1-922366694913}" name="総数／構成比" dataDxfId="823"/>
    <tableColumn id="12" xr3:uid="{325EBD4A-8048-4827-8613-529E26727FA2}" name="個人／事業所数" totalsRowFunction="sum" totalsRowDxfId="822" dataCellStyle="桁区切り" totalsRowCellStyle="桁区切り"/>
    <tableColumn id="13" xr3:uid="{83011E82-D0F1-49A0-897D-6A99679B0EC5}" name="個人／構成比" dataDxfId="821"/>
    <tableColumn id="14" xr3:uid="{C832E270-CFE7-4756-91F5-CB77D460F11A}" name="法人／事業所数" totalsRowFunction="sum" totalsRowDxfId="820" dataCellStyle="桁区切り" totalsRowCellStyle="桁区切り"/>
    <tableColumn id="15" xr3:uid="{A1C91B0C-CC9A-424B-A0A8-5C10D354379C}" name="法人／構成比" dataDxfId="819"/>
    <tableColumn id="16" xr3:uid="{C2A78DE5-6032-4683-9C8B-3BAE10A9B8A6}" name="法人以外の団体／事業所数" totalsRowFunction="sum" totalsRowDxfId="818" dataCellStyle="桁区切り" totalsRow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8C5A38F-4346-4EA1-A744-E8B2D61D2397}" name="M_TABLE_27100" displayName="M_TABLE_27100" ref="B23:I43" totalsRowShown="0">
  <autoFilter ref="B23:I43" xr:uid="{D8C5A38F-4346-4EA1-A744-E8B2D61D2397}"/>
  <tableColumns count="8">
    <tableColumn id="9" xr3:uid="{A26CD4F0-4354-4722-99A3-E4E36D86D627}" name="産業中分類上位２０"/>
    <tableColumn id="10" xr3:uid="{5A9F70B4-A1E4-473D-9767-15CA4CAB3B22}" name="総数／事業所数" dataCellStyle="桁区切り"/>
    <tableColumn id="11" xr3:uid="{942F5316-4877-4EE5-BAE0-13315D6B5906}" name="総数／構成比" dataDxfId="1027"/>
    <tableColumn id="12" xr3:uid="{52A219BB-A909-41D6-ACA1-798A197DA72F}" name="個人／事業所数" dataCellStyle="桁区切り"/>
    <tableColumn id="13" xr3:uid="{633A1162-E88E-4AA0-A68A-9484FE34A3DB}" name="個人／構成比" dataDxfId="1026"/>
    <tableColumn id="14" xr3:uid="{C7F08345-C18B-4AA4-97F8-B7E9D7E150BF}" name="法人／事業所数" dataCellStyle="桁区切り"/>
    <tableColumn id="15" xr3:uid="{082D3444-EC20-4EF1-9D3D-65B893D5AE81}" name="法人／構成比" dataDxfId="1025"/>
    <tableColumn id="16" xr3:uid="{2C5963B2-B1CA-4370-83D4-5B57ECA080CC}" name="法人以外の団体／事業所数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562A6024-5131-4DEC-9542-F0053DA78C29}" name="M_TABLE_27119" displayName="M_TABLE_27119" ref="B23:I43" totalsRowShown="0">
  <autoFilter ref="B23:I43" xr:uid="{562A6024-5131-4DEC-9542-F0053DA78C29}"/>
  <tableColumns count="8">
    <tableColumn id="9" xr3:uid="{1541D365-5E90-4776-87D1-BDCB2B4BA1E6}" name="産業中分類上位２０"/>
    <tableColumn id="10" xr3:uid="{C91FDC9E-3B22-4408-A9EB-829CEB84020F}" name="総数／事業所数" dataCellStyle="桁区切り"/>
    <tableColumn id="11" xr3:uid="{0BFADAE4-31A6-46B8-8D5E-61E21EC2963F}" name="総数／構成比" dataDxfId="817"/>
    <tableColumn id="12" xr3:uid="{4C07F375-9AF2-4CF5-9C50-D45801DCFE47}" name="個人／事業所数" dataCellStyle="桁区切り"/>
    <tableColumn id="13" xr3:uid="{3C99B281-EF95-44DF-9015-44D444EBBFD0}" name="個人／構成比" dataDxfId="816"/>
    <tableColumn id="14" xr3:uid="{9AAFCBFC-922A-440F-92CE-EACA2C876525}" name="法人／事業所数" dataCellStyle="桁区切り"/>
    <tableColumn id="15" xr3:uid="{A4CBE9CD-A8E9-4732-8AA3-7A99F690269E}" name="法人／構成比" dataDxfId="815"/>
    <tableColumn id="16" xr3:uid="{847B105C-D7D3-40FA-8DEC-90A0E071B05C}" name="法人以外の団体／事業所数" dataCellStyle="桁区切り"/>
  </tableColumns>
  <tableStyleInfo name="TableStyleMedium9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1F4D82EC-5AFE-4DF5-A3F2-BDB48646D998}" name="S_TABLE_27119" displayName="S_TABLE_27119" ref="B46:I67" totalsRowShown="0">
  <autoFilter ref="B46:I67" xr:uid="{1F4D82EC-5AFE-4DF5-A3F2-BDB48646D998}"/>
  <tableColumns count="8">
    <tableColumn id="9" xr3:uid="{0BE1DE66-E716-4584-9E2E-5DA4E71935B0}" name="産業小分類上位２０"/>
    <tableColumn id="10" xr3:uid="{B8FCD495-105F-4D72-B83C-21877B7558D6}" name="総数／事業所数" dataCellStyle="桁区切り"/>
    <tableColumn id="11" xr3:uid="{6E32A4DC-726C-4A26-BB76-65F0F0294585}" name="総数／構成比" dataDxfId="814"/>
    <tableColumn id="12" xr3:uid="{CACE1602-7971-42BA-BA02-7D07648BFBA9}" name="個人／事業所数" dataCellStyle="桁区切り"/>
    <tableColumn id="13" xr3:uid="{478FC5BD-1DFB-4636-A4E4-93AD252581FA}" name="個人／構成比" dataDxfId="813"/>
    <tableColumn id="14" xr3:uid="{B495D3EE-2E5D-49AA-9EB6-6D315D990D5D}" name="法人／事業所数" dataCellStyle="桁区切り"/>
    <tableColumn id="15" xr3:uid="{8A176F65-2BE3-4F12-8CF1-35CE0A6FD122}" name="法人／構成比" dataDxfId="812"/>
    <tableColumn id="16" xr3:uid="{5138401E-0C3A-4745-8570-43A8E3D8F3B3}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E8A85EA1-6067-459B-81B3-DE5DB5E0B851}" name="LTBL_27120" displayName="LTBL_27120" ref="B4:I20" totalsRowCount="1">
  <autoFilter ref="B4:I19" xr:uid="{E8A85EA1-6067-459B-81B3-DE5DB5E0B851}"/>
  <tableColumns count="8">
    <tableColumn id="9" xr3:uid="{5E1C9959-702A-4015-B7FA-2820EF57FA9D}" name="産業大分類" totalsRowLabel="合計" totalsRowDxfId="811"/>
    <tableColumn id="10" xr3:uid="{B19967FA-8B4C-4EC1-8706-C018DF2E51D2}" name="総数／事業所数" totalsRowFunction="custom" totalsRowDxfId="810" dataCellStyle="桁区切り" totalsRowCellStyle="桁区切り">
      <totalsRowFormula>SUM(LTBL_27120[総数／事業所数])</totalsRowFormula>
    </tableColumn>
    <tableColumn id="11" xr3:uid="{11FA7ED0-8165-4264-B0FC-C9EF78A01117}" name="総数／構成比" dataDxfId="809"/>
    <tableColumn id="12" xr3:uid="{A794D97B-D68D-4A12-94BA-9CA4F7F9C9B4}" name="個人／事業所数" totalsRowFunction="sum" totalsRowDxfId="808" dataCellStyle="桁区切り" totalsRowCellStyle="桁区切り"/>
    <tableColumn id="13" xr3:uid="{C9277D73-5A0D-4D9C-B1B9-A53A4965760D}" name="個人／構成比" dataDxfId="807"/>
    <tableColumn id="14" xr3:uid="{3727D779-846D-40C4-9F9C-3A64A94C47FD}" name="法人／事業所数" totalsRowFunction="sum" totalsRowDxfId="806" dataCellStyle="桁区切り" totalsRowCellStyle="桁区切り"/>
    <tableColumn id="15" xr3:uid="{65C3F662-4A3A-4D7F-9BC2-CC65E41DBC48}" name="法人／構成比" dataDxfId="805"/>
    <tableColumn id="16" xr3:uid="{7675DB69-BA09-4B99-BD65-C43495AA9950}" name="法人以外の団体／事業所数" totalsRowFunction="sum" totalsRowDxfId="804" dataCellStyle="桁区切り" totalsRow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B12696E0-DA49-4504-80E5-BE4F72E267CA}" name="M_TABLE_27120" displayName="M_TABLE_27120" ref="B23:I43" totalsRowShown="0">
  <autoFilter ref="B23:I43" xr:uid="{B12696E0-DA49-4504-80E5-BE4F72E267CA}"/>
  <tableColumns count="8">
    <tableColumn id="9" xr3:uid="{BFEDE03C-CDB1-4BD2-8469-2A64B4A2B338}" name="産業中分類上位２０"/>
    <tableColumn id="10" xr3:uid="{5846AB7F-76C0-4E2B-85F2-39195DE205F0}" name="総数／事業所数" dataCellStyle="桁区切り"/>
    <tableColumn id="11" xr3:uid="{E012279B-3237-4F55-B908-1D49600BEAB2}" name="総数／構成比" dataDxfId="803"/>
    <tableColumn id="12" xr3:uid="{94987FF5-8627-409D-8C22-F505759C7B7A}" name="個人／事業所数" dataCellStyle="桁区切り"/>
    <tableColumn id="13" xr3:uid="{E8FB0564-9636-470E-A5A7-05A763F3AAC1}" name="個人／構成比" dataDxfId="802"/>
    <tableColumn id="14" xr3:uid="{914B2DD8-8D11-4277-A4A2-622A59562875}" name="法人／事業所数" dataCellStyle="桁区切り"/>
    <tableColumn id="15" xr3:uid="{4877DA0B-03E1-43F3-B568-BAD15EE9DDE9}" name="法人／構成比" dataDxfId="801"/>
    <tableColumn id="16" xr3:uid="{0445AD8F-9C4A-48BF-A77A-098D3EAF75B3}" name="法人以外の団体／事業所数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A19C47AF-C781-4786-B595-F74DA2325C3E}" name="S_TABLE_27120" displayName="S_TABLE_27120" ref="B46:I66" totalsRowShown="0">
  <autoFilter ref="B46:I66" xr:uid="{A19C47AF-C781-4786-B595-F74DA2325C3E}"/>
  <tableColumns count="8">
    <tableColumn id="9" xr3:uid="{09B56B21-0346-4CFE-B5D6-C1A16C7BF743}" name="産業小分類上位２０"/>
    <tableColumn id="10" xr3:uid="{6E7154CF-4076-4140-B816-6DA7EE04E5FB}" name="総数／事業所数" dataCellStyle="桁区切り"/>
    <tableColumn id="11" xr3:uid="{60D25E7A-52C9-4F86-B0F7-9DFE6A1C057B}" name="総数／構成比" dataDxfId="800"/>
    <tableColumn id="12" xr3:uid="{AB03D9AA-D365-4AC3-AC0C-105E7EE500B1}" name="個人／事業所数" dataCellStyle="桁区切り"/>
    <tableColumn id="13" xr3:uid="{3FF8E977-D6A2-4192-904A-84FE5433BEBB}" name="個人／構成比" dataDxfId="799"/>
    <tableColumn id="14" xr3:uid="{D496E2CF-8F75-4773-A5A9-47BCEEBF91B7}" name="法人／事業所数" dataCellStyle="桁区切り"/>
    <tableColumn id="15" xr3:uid="{567E989D-F833-4AA9-99DD-D77D1E597DEC}" name="法人／構成比" dataDxfId="798"/>
    <tableColumn id="16" xr3:uid="{5D39E69D-477F-4A3D-A0C9-E8259665E072}" name="法人以外の団体／事業所数" dataCellStyle="桁区切り"/>
  </tableColumns>
  <tableStyleInfo name="TableStyleMedium9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39898A6D-300A-45AB-A8A4-E5F9987833D9}" name="LTBL_27121" displayName="LTBL_27121" ref="B4:I20" totalsRowCount="1">
  <autoFilter ref="B4:I19" xr:uid="{39898A6D-300A-45AB-A8A4-E5F9987833D9}"/>
  <tableColumns count="8">
    <tableColumn id="9" xr3:uid="{2DB3B3CB-EE50-4F39-AEFF-17CCA9DD4E05}" name="産業大分類" totalsRowLabel="合計" totalsRowDxfId="797"/>
    <tableColumn id="10" xr3:uid="{0ECA4E15-EF64-4087-8CE4-039CBF99F414}" name="総数／事業所数" totalsRowFunction="custom" totalsRowDxfId="796" dataCellStyle="桁区切り" totalsRowCellStyle="桁区切り">
      <totalsRowFormula>SUM(LTBL_27121[総数／事業所数])</totalsRowFormula>
    </tableColumn>
    <tableColumn id="11" xr3:uid="{A51E6D14-B0D1-478B-86FD-EC3B1627BD14}" name="総数／構成比" dataDxfId="795"/>
    <tableColumn id="12" xr3:uid="{C870AE1A-FB22-4143-9355-032412B8925A}" name="個人／事業所数" totalsRowFunction="sum" totalsRowDxfId="794" dataCellStyle="桁区切り" totalsRowCellStyle="桁区切り"/>
    <tableColumn id="13" xr3:uid="{C63926AD-EAC5-4AD0-9A2C-8C425DD29711}" name="個人／構成比" dataDxfId="793"/>
    <tableColumn id="14" xr3:uid="{14641A0D-9E01-42A3-8714-CFBFD47FAF11}" name="法人／事業所数" totalsRowFunction="sum" totalsRowDxfId="792" dataCellStyle="桁区切り" totalsRowCellStyle="桁区切り"/>
    <tableColumn id="15" xr3:uid="{B2D1CC11-D914-4ED3-A1D5-FBD5AD1F1E0E}" name="法人／構成比" dataDxfId="791"/>
    <tableColumn id="16" xr3:uid="{9D55629F-1F1A-4522-A279-FC75FF1D1E02}" name="法人以外の団体／事業所数" totalsRowFunction="sum" totalsRowDxfId="790" dataCellStyle="桁区切り" totalsRow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46F610D1-C292-4BD4-9E6E-7DC3CA3EBD0D}" name="M_TABLE_27121" displayName="M_TABLE_27121" ref="B23:I44" totalsRowShown="0">
  <autoFilter ref="B23:I44" xr:uid="{46F610D1-C292-4BD4-9E6E-7DC3CA3EBD0D}"/>
  <tableColumns count="8">
    <tableColumn id="9" xr3:uid="{32EB57B1-E9A0-46E2-B48B-05343DA4E807}" name="産業中分類上位２０"/>
    <tableColumn id="10" xr3:uid="{552B1630-12CC-46F6-8864-B7CCBBAFDEE7}" name="総数／事業所数" dataCellStyle="桁区切り"/>
    <tableColumn id="11" xr3:uid="{A4282128-1A90-47E0-A7F0-D26215C5269A}" name="総数／構成比" dataDxfId="789"/>
    <tableColumn id="12" xr3:uid="{69BAA8BC-B53D-47E1-8CA0-786FF5047174}" name="個人／事業所数" dataCellStyle="桁区切り"/>
    <tableColumn id="13" xr3:uid="{F440988D-9090-43D2-A39B-490D0F667B3A}" name="個人／構成比" dataDxfId="788"/>
    <tableColumn id="14" xr3:uid="{166EAA45-AC2B-427E-A274-01840134645A}" name="法人／事業所数" dataCellStyle="桁区切り"/>
    <tableColumn id="15" xr3:uid="{3A601C8F-9C33-479D-9B7D-0F55FEF5E0CB}" name="法人／構成比" dataDxfId="787"/>
    <tableColumn id="16" xr3:uid="{B32D4319-92DB-4CAA-80D3-4E4D5814939A}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26F8F4A3-D17C-41AA-A4D8-25FACED29706}" name="S_TABLE_27121" displayName="S_TABLE_27121" ref="B47:I67" totalsRowShown="0">
  <autoFilter ref="B47:I67" xr:uid="{26F8F4A3-D17C-41AA-A4D8-25FACED29706}"/>
  <tableColumns count="8">
    <tableColumn id="9" xr3:uid="{C788967E-D0DA-4188-9FFF-E6E36D44D8AE}" name="産業小分類上位２０"/>
    <tableColumn id="10" xr3:uid="{7173D7A1-FF33-4D27-BF23-F0892EB18DD3}" name="総数／事業所数" dataCellStyle="桁区切り"/>
    <tableColumn id="11" xr3:uid="{5724C2FB-8C6A-4EBF-AE86-675233EA971B}" name="総数／構成比" dataDxfId="786"/>
    <tableColumn id="12" xr3:uid="{9387D311-0C2C-441E-9986-311D7D3F5151}" name="個人／事業所数" dataCellStyle="桁区切り"/>
    <tableColumn id="13" xr3:uid="{CC643ED2-3588-48E3-B5B2-0CAB1F9C168D}" name="個人／構成比" dataDxfId="785"/>
    <tableColumn id="14" xr3:uid="{015A1E74-8168-4BDB-A5CB-8131AC3C0A44}" name="法人／事業所数" dataCellStyle="桁区切り"/>
    <tableColumn id="15" xr3:uid="{04BB49AE-C02C-427C-8F1E-EA7603FBFC69}" name="法人／構成比" dataDxfId="784"/>
    <tableColumn id="16" xr3:uid="{F918B4CC-0DB7-4FE2-89D0-F066676D4F21}" name="法人以外の団体／事業所数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5656C911-43E6-41DD-8F2A-6B821F3635AA}" name="LTBL_27122" displayName="LTBL_27122" ref="B4:I20" totalsRowCount="1">
  <autoFilter ref="B4:I19" xr:uid="{5656C911-43E6-41DD-8F2A-6B821F3635AA}"/>
  <tableColumns count="8">
    <tableColumn id="9" xr3:uid="{EA699024-252B-469C-B026-6F772D17E9F0}" name="産業大分類" totalsRowLabel="合計" totalsRowDxfId="783"/>
    <tableColumn id="10" xr3:uid="{4E9844A7-AC95-41FD-B0FF-B085FB0809E6}" name="総数／事業所数" totalsRowFunction="custom" totalsRowDxfId="782" dataCellStyle="桁区切り" totalsRowCellStyle="桁区切り">
      <totalsRowFormula>SUM(LTBL_27122[総数／事業所数])</totalsRowFormula>
    </tableColumn>
    <tableColumn id="11" xr3:uid="{CF3A5D54-D098-4EF6-8C55-FB33622C9BB1}" name="総数／構成比" dataDxfId="781"/>
    <tableColumn id="12" xr3:uid="{AC3A1ABA-972F-4C44-84CF-5E2174A3DF0F}" name="個人／事業所数" totalsRowFunction="sum" totalsRowDxfId="780" dataCellStyle="桁区切り" totalsRowCellStyle="桁区切り"/>
    <tableColumn id="13" xr3:uid="{E135102F-95B3-4D60-AADB-D3FB4E22A9E1}" name="個人／構成比" dataDxfId="779"/>
    <tableColumn id="14" xr3:uid="{2EA27E22-5ABE-4588-B359-2D9552866212}" name="法人／事業所数" totalsRowFunction="sum" totalsRowDxfId="778" dataCellStyle="桁区切り" totalsRowCellStyle="桁区切り"/>
    <tableColumn id="15" xr3:uid="{C759D5B0-C9CA-4F93-A894-773BB751E508}" name="法人／構成比" dataDxfId="777"/>
    <tableColumn id="16" xr3:uid="{F0077116-DF62-4117-A0E1-49CDAEF177FA}" name="法人以外の団体／事業所数" totalsRowFunction="sum" totalsRowDxfId="776" dataCellStyle="桁区切り" totalsRowCellStyle="桁区切り"/>
  </tableColumns>
  <tableStyleInfo name="TableStyleMedium9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D34425C0-A141-49F9-AA75-B06E791FF949}" name="M_TABLE_27122" displayName="M_TABLE_27122" ref="B23:I43" totalsRowShown="0">
  <autoFilter ref="B23:I43" xr:uid="{D34425C0-A141-49F9-AA75-B06E791FF949}"/>
  <tableColumns count="8">
    <tableColumn id="9" xr3:uid="{25C7FA13-C9F7-4021-A162-F83B6E925C03}" name="産業中分類上位２０"/>
    <tableColumn id="10" xr3:uid="{A34A21C5-DFCF-4DD3-98C3-C1CC8B172368}" name="総数／事業所数" dataCellStyle="桁区切り"/>
    <tableColumn id="11" xr3:uid="{C8C83BD2-02E7-478F-A983-9A19A5763807}" name="総数／構成比" dataDxfId="775"/>
    <tableColumn id="12" xr3:uid="{A10D5521-8D51-451C-A000-FCA20C36E073}" name="個人／事業所数" dataCellStyle="桁区切り"/>
    <tableColumn id="13" xr3:uid="{71DB1F27-1AD2-48C7-BEA3-BE7685B50DD9}" name="個人／構成比" dataDxfId="774"/>
    <tableColumn id="14" xr3:uid="{3337C8C4-0E92-4578-9D19-C7FE6ACF4480}" name="法人／事業所数" dataCellStyle="桁区切り"/>
    <tableColumn id="15" xr3:uid="{6702A235-FC1F-4C35-ADA7-CAA5D6E03531}" name="法人／構成比" dataDxfId="773"/>
    <tableColumn id="16" xr3:uid="{1535FE18-A092-4C6E-8DF2-CA409465FABF}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6A25FFF-59EC-4D8D-B251-339ECB80445E}" name="S_TABLE_27100" displayName="S_TABLE_27100" ref="B46:I66" totalsRowShown="0">
  <autoFilter ref="B46:I66" xr:uid="{56A25FFF-59EC-4D8D-B251-339ECB80445E}"/>
  <tableColumns count="8">
    <tableColumn id="9" xr3:uid="{5855B061-7C2B-4046-8590-2740979A87F7}" name="産業小分類上位２０"/>
    <tableColumn id="10" xr3:uid="{8677D9B9-EBD2-47FE-8490-A12F1C61422F}" name="総数／事業所数" dataCellStyle="桁区切り"/>
    <tableColumn id="11" xr3:uid="{7471B4BE-6B3B-4404-9E6B-F0F4D8701854}" name="総数／構成比" dataDxfId="1024"/>
    <tableColumn id="12" xr3:uid="{24D3DA38-32A6-486E-B192-4115794C3267}" name="個人／事業所数" dataCellStyle="桁区切り"/>
    <tableColumn id="13" xr3:uid="{3675640F-61B6-40CA-A0DC-735DE57EDE4C}" name="個人／構成比" dataDxfId="1023"/>
    <tableColumn id="14" xr3:uid="{B8CC4FC6-1354-44B2-970B-00D4E70D440D}" name="法人／事業所数" dataCellStyle="桁区切り"/>
    <tableColumn id="15" xr3:uid="{53EF0EA8-6D5F-42C1-905B-B1D9F1F42662}" name="法人／構成比" dataDxfId="1022"/>
    <tableColumn id="16" xr3:uid="{3BED405A-1AF0-464C-84AF-D245A42DCE88}" name="法人以外の団体／事業所数" dataCellStyle="桁区切り"/>
  </tableColumns>
  <tableStyleInfo name="TableStyleMedium9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6FB33ED7-3CDD-429F-A5B8-878017E36C4C}" name="S_TABLE_27122" displayName="S_TABLE_27122" ref="B46:I66" totalsRowShown="0">
  <autoFilter ref="B46:I66" xr:uid="{6FB33ED7-3CDD-429F-A5B8-878017E36C4C}"/>
  <tableColumns count="8">
    <tableColumn id="9" xr3:uid="{2E4077DA-735D-4861-B938-F0E549D9ADC2}" name="産業小分類上位２０"/>
    <tableColumn id="10" xr3:uid="{DCBAEE4A-22F6-4D38-8B7D-48693D11108D}" name="総数／事業所数" dataCellStyle="桁区切り"/>
    <tableColumn id="11" xr3:uid="{1B0E1769-D48B-4DE5-A094-3E4021F50077}" name="総数／構成比" dataDxfId="772"/>
    <tableColumn id="12" xr3:uid="{0BA151EC-5F1C-457E-A47D-97E6C2C78C87}" name="個人／事業所数" dataCellStyle="桁区切り"/>
    <tableColumn id="13" xr3:uid="{672697DD-8DE8-440C-A015-4CBC1D3866AF}" name="個人／構成比" dataDxfId="771"/>
    <tableColumn id="14" xr3:uid="{FF6A028E-D665-483F-B7A6-CCF3236494A0}" name="法人／事業所数" dataCellStyle="桁区切り"/>
    <tableColumn id="15" xr3:uid="{48ADD6F9-6F7B-4F94-AF73-1D4066FB1CE7}" name="法人／構成比" dataDxfId="770"/>
    <tableColumn id="16" xr3:uid="{373165E7-5A0D-4936-89C5-A57DA4C3EE6D}" name="法人以外の団体／事業所数" dataCellStyle="桁区切り"/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CBF398C6-90FE-4E8C-B807-0B4947D75C3C}" name="LTBL_27123" displayName="LTBL_27123" ref="B4:I20" totalsRowCount="1">
  <autoFilter ref="B4:I19" xr:uid="{CBF398C6-90FE-4E8C-B807-0B4947D75C3C}"/>
  <tableColumns count="8">
    <tableColumn id="9" xr3:uid="{F3EE14B8-5144-4D4D-B8BC-D9DFAFAD63FA}" name="産業大分類" totalsRowLabel="合計" totalsRowDxfId="769"/>
    <tableColumn id="10" xr3:uid="{D12B3B94-90B4-4D23-A2AA-457720E74455}" name="総数／事業所数" totalsRowFunction="custom" totalsRowDxfId="768" dataCellStyle="桁区切り" totalsRowCellStyle="桁区切り">
      <totalsRowFormula>SUM(LTBL_27123[総数／事業所数])</totalsRowFormula>
    </tableColumn>
    <tableColumn id="11" xr3:uid="{0ECAEC48-4ACB-4EBA-A3FE-2AA1643EED2D}" name="総数／構成比" dataDxfId="767"/>
    <tableColumn id="12" xr3:uid="{284EBE24-BFFA-4B5A-8CCE-0776CEB14613}" name="個人／事業所数" totalsRowFunction="sum" totalsRowDxfId="766" dataCellStyle="桁区切り" totalsRowCellStyle="桁区切り"/>
    <tableColumn id="13" xr3:uid="{C7A99695-DD03-40CC-8E71-BE36805F548C}" name="個人／構成比" dataDxfId="765"/>
    <tableColumn id="14" xr3:uid="{79EF44B0-E931-4960-A604-D594E38F2814}" name="法人／事業所数" totalsRowFunction="sum" totalsRowDxfId="764" dataCellStyle="桁区切り" totalsRowCellStyle="桁区切り"/>
    <tableColumn id="15" xr3:uid="{F8107FFF-A3F0-4A26-928D-DEF6C919BE04}" name="法人／構成比" dataDxfId="763"/>
    <tableColumn id="16" xr3:uid="{B0F46A27-CF1C-4D99-A53B-CC7EA31ECBA9}" name="法人以外の団体／事業所数" totalsRowFunction="sum" totalsRowDxfId="762" dataCellStyle="桁区切り" totalsRowCellStyle="桁区切り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C3DFA382-C0A4-439E-9A06-F03F3F777486}" name="M_TABLE_27123" displayName="M_TABLE_27123" ref="B23:I43" totalsRowShown="0">
  <autoFilter ref="B23:I43" xr:uid="{C3DFA382-C0A4-439E-9A06-F03F3F777486}"/>
  <tableColumns count="8">
    <tableColumn id="9" xr3:uid="{13297B2C-6A87-40F5-B2CE-F7E6C7FC0AFE}" name="産業中分類上位２０"/>
    <tableColumn id="10" xr3:uid="{EC387DDA-FC13-47C7-A702-81A53573F141}" name="総数／事業所数" dataCellStyle="桁区切り"/>
    <tableColumn id="11" xr3:uid="{31026007-8612-4707-944D-EE8C480E1DFF}" name="総数／構成比" dataDxfId="761"/>
    <tableColumn id="12" xr3:uid="{A9E891AE-4AFD-4DA7-8E88-694059988C84}" name="個人／事業所数" dataCellStyle="桁区切り"/>
    <tableColumn id="13" xr3:uid="{1779699C-D38F-41A5-ABF9-88FB34ACEED6}" name="個人／構成比" dataDxfId="760"/>
    <tableColumn id="14" xr3:uid="{B34AB459-6F33-4FD6-9210-14B80B23308A}" name="法人／事業所数" dataCellStyle="桁区切り"/>
    <tableColumn id="15" xr3:uid="{292D0D3B-73F2-4888-AB21-273A894B8D71}" name="法人／構成比" dataDxfId="759"/>
    <tableColumn id="16" xr3:uid="{FB8442E0-0B18-46BB-AF47-1B1C3C7FCDB3}" name="法人以外の団体／事業所数" dataCellStyle="桁区切り"/>
  </tableColumns>
  <tableStyleInfo name="TableStyleMedium9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1FA47618-1091-4FFB-8E8E-4ECE115052FC}" name="S_TABLE_27123" displayName="S_TABLE_27123" ref="B46:I66" totalsRowShown="0">
  <autoFilter ref="B46:I66" xr:uid="{1FA47618-1091-4FFB-8E8E-4ECE115052FC}"/>
  <tableColumns count="8">
    <tableColumn id="9" xr3:uid="{5BD4870E-874C-46B4-98D2-09D66D1E3D8C}" name="産業小分類上位２０"/>
    <tableColumn id="10" xr3:uid="{4321E687-E54A-44E6-A949-16B003F29972}" name="総数／事業所数" dataCellStyle="桁区切り"/>
    <tableColumn id="11" xr3:uid="{57982F21-5C7A-4232-88AD-3FADD79BCE2B}" name="総数／構成比" dataDxfId="758"/>
    <tableColumn id="12" xr3:uid="{053F8246-49EA-4E39-9B15-90459EA16E1B}" name="個人／事業所数" dataCellStyle="桁区切り"/>
    <tableColumn id="13" xr3:uid="{7AD27EAD-4271-4E1D-B67C-5DB5DB0916C0}" name="個人／構成比" dataDxfId="757"/>
    <tableColumn id="14" xr3:uid="{0FCFB827-8D7D-4677-8F1E-1725B2F53731}" name="法人／事業所数" dataCellStyle="桁区切り"/>
    <tableColumn id="15" xr3:uid="{CBC1590E-4AF8-4B56-A956-6C4C7C10268E}" name="法人／構成比" dataDxfId="756"/>
    <tableColumn id="16" xr3:uid="{1C74B33A-E267-4D64-8F16-7EAEEAE7857B}" name="法人以外の団体／事業所数" dataCellStyle="桁区切り"/>
  </tableColumns>
  <tableStyleInfo name="TableStyleMedium9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A56A29E-26F3-43D5-BD90-380C58D121AE}" name="LTBL_27124" displayName="LTBL_27124" ref="B4:I20" totalsRowCount="1">
  <autoFilter ref="B4:I19" xr:uid="{0A56A29E-26F3-43D5-BD90-380C58D121AE}"/>
  <tableColumns count="8">
    <tableColumn id="9" xr3:uid="{73E53CA0-C9DE-439F-955B-088E0B68AEE3}" name="産業大分類" totalsRowLabel="合計" totalsRowDxfId="755"/>
    <tableColumn id="10" xr3:uid="{0AE40171-C912-440B-93F8-76178E55757B}" name="総数／事業所数" totalsRowFunction="custom" totalsRowDxfId="754" dataCellStyle="桁区切り" totalsRowCellStyle="桁区切り">
      <totalsRowFormula>SUM(LTBL_27124[総数／事業所数])</totalsRowFormula>
    </tableColumn>
    <tableColumn id="11" xr3:uid="{FB1CEA45-087D-45C9-839A-69D4B4D68A3A}" name="総数／構成比" dataDxfId="753"/>
    <tableColumn id="12" xr3:uid="{BBDE3D9E-DD7C-4AD7-95F0-8513FF1FB99F}" name="個人／事業所数" totalsRowFunction="sum" totalsRowDxfId="752" dataCellStyle="桁区切り" totalsRowCellStyle="桁区切り"/>
    <tableColumn id="13" xr3:uid="{C396150F-D95A-4059-916B-7F4B84665AB6}" name="個人／構成比" dataDxfId="751"/>
    <tableColumn id="14" xr3:uid="{F8D30A16-AB9D-430C-B455-73E5064CDFFC}" name="法人／事業所数" totalsRowFunction="sum" totalsRowDxfId="750" dataCellStyle="桁区切り" totalsRowCellStyle="桁区切り"/>
    <tableColumn id="15" xr3:uid="{8F11AD67-2F21-4B6B-A03A-D7CEF4FDD76D}" name="法人／構成比" dataDxfId="749"/>
    <tableColumn id="16" xr3:uid="{D2840264-ADAA-42ED-A8B1-3B91713B86FD}" name="法人以外の団体／事業所数" totalsRowFunction="sum" totalsRowDxfId="748" dataCellStyle="桁区切り" totalsRowCellStyle="桁区切り"/>
  </tableColumns>
  <tableStyleInfo name="TableStyleMedium9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1D284FA4-B14D-4FC0-BF03-50845899B1FB}" name="M_TABLE_27124" displayName="M_TABLE_27124" ref="B23:I43" totalsRowShown="0">
  <autoFilter ref="B23:I43" xr:uid="{1D284FA4-B14D-4FC0-BF03-50845899B1FB}"/>
  <tableColumns count="8">
    <tableColumn id="9" xr3:uid="{47D19CA7-B8D1-48E1-84FE-7AE7E8CAC598}" name="産業中分類上位２０"/>
    <tableColumn id="10" xr3:uid="{B1F4CF0E-B8F6-490E-A575-A06D52D21227}" name="総数／事業所数" dataCellStyle="桁区切り"/>
    <tableColumn id="11" xr3:uid="{0E7704E3-56EE-404D-97B8-E7EA061519D7}" name="総数／構成比" dataDxfId="747"/>
    <tableColumn id="12" xr3:uid="{E3C03D62-0AD9-46E1-81BE-738DD7E67863}" name="個人／事業所数" dataCellStyle="桁区切り"/>
    <tableColumn id="13" xr3:uid="{B1AA7552-0E99-45BD-9C5D-FFB461154497}" name="個人／構成比" dataDxfId="746"/>
    <tableColumn id="14" xr3:uid="{D069A854-DC5F-4358-A862-209BBBF98590}" name="法人／事業所数" dataCellStyle="桁区切り"/>
    <tableColumn id="15" xr3:uid="{C31B6FA8-3736-435A-978E-C4F5409B18E1}" name="法人／構成比" dataDxfId="745"/>
    <tableColumn id="16" xr3:uid="{FD6E9046-47B4-4D86-BA2C-4E7E4EB26EF2}" name="法人以外の団体／事業所数" dataCellStyle="桁区切り"/>
  </tableColumns>
  <tableStyleInfo name="TableStyleMedium9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71D00391-BDFD-476D-A857-55B9083B1221}" name="S_TABLE_27124" displayName="S_TABLE_27124" ref="B46:I68" totalsRowShown="0">
  <autoFilter ref="B46:I68" xr:uid="{71D00391-BDFD-476D-A857-55B9083B1221}"/>
  <tableColumns count="8">
    <tableColumn id="9" xr3:uid="{34F5EA85-63BE-4E08-A62B-7E69D349C91A}" name="産業小分類上位２０"/>
    <tableColumn id="10" xr3:uid="{670A6DBE-1A56-42D6-AD9F-5C78F3E122E5}" name="総数／事業所数" dataCellStyle="桁区切り"/>
    <tableColumn id="11" xr3:uid="{CA1E7B37-7AC6-4324-9F94-067F7748F608}" name="総数／構成比" dataDxfId="744"/>
    <tableColumn id="12" xr3:uid="{6DC62B32-11FA-4CE3-843B-BA5C52BAC8BF}" name="個人／事業所数" dataCellStyle="桁区切り"/>
    <tableColumn id="13" xr3:uid="{C1BC8CE2-8BA2-400D-B340-ABEC319CFD3E}" name="個人／構成比" dataDxfId="743"/>
    <tableColumn id="14" xr3:uid="{9EF1AB9E-C6B4-4F63-9B94-8356FA418423}" name="法人／事業所数" dataCellStyle="桁区切り"/>
    <tableColumn id="15" xr3:uid="{C8FFDC04-F87C-457D-AEBC-373C71D1CC79}" name="法人／構成比" dataDxfId="742"/>
    <tableColumn id="16" xr3:uid="{6973E072-D352-4CC8-A018-03A948B36761}" name="法人以外の団体／事業所数" dataCellStyle="桁区切り"/>
  </tableColumns>
  <tableStyleInfo name="TableStyleMedium9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4C84E958-40BC-43BA-BDA8-BC87709258D0}" name="LTBL_27125" displayName="LTBL_27125" ref="B4:I20" totalsRowCount="1">
  <autoFilter ref="B4:I19" xr:uid="{4C84E958-40BC-43BA-BDA8-BC87709258D0}"/>
  <tableColumns count="8">
    <tableColumn id="9" xr3:uid="{DADC8299-0C66-477B-A5E0-633958E0FEEE}" name="産業大分類" totalsRowLabel="合計" totalsRowDxfId="741"/>
    <tableColumn id="10" xr3:uid="{8862A2A8-FE7C-4D0D-AE78-DEC72E05C8A8}" name="総数／事業所数" totalsRowFunction="custom" totalsRowDxfId="740" dataCellStyle="桁区切り" totalsRowCellStyle="桁区切り">
      <totalsRowFormula>SUM(LTBL_27125[総数／事業所数])</totalsRowFormula>
    </tableColumn>
    <tableColumn id="11" xr3:uid="{03D56323-E234-4001-A322-D0B91F9B8D7E}" name="総数／構成比" dataDxfId="739"/>
    <tableColumn id="12" xr3:uid="{D9C83DAE-73C9-47BC-976C-0990963FBD20}" name="個人／事業所数" totalsRowFunction="sum" totalsRowDxfId="738" dataCellStyle="桁区切り" totalsRowCellStyle="桁区切り"/>
    <tableColumn id="13" xr3:uid="{8891FDD1-D8B2-4F71-83A5-BAA753BC4CF4}" name="個人／構成比" dataDxfId="737"/>
    <tableColumn id="14" xr3:uid="{321293F1-0C79-42E0-AE25-6C9F26E3BA3C}" name="法人／事業所数" totalsRowFunction="sum" totalsRowDxfId="736" dataCellStyle="桁区切り" totalsRowCellStyle="桁区切り"/>
    <tableColumn id="15" xr3:uid="{CB6098F6-92F0-4C48-8A35-E83C2DAC0A73}" name="法人／構成比" dataDxfId="735"/>
    <tableColumn id="16" xr3:uid="{5C02EBD3-5112-401B-A415-DB52AD7DEC8F}" name="法人以外の団体／事業所数" totalsRowFunction="sum" totalsRowDxfId="734" dataCellStyle="桁区切り" totalsRowCellStyle="桁区切り"/>
  </tableColumns>
  <tableStyleInfo name="TableStyleMedium9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6019210F-A7F4-4B42-80B8-E514AD277A72}" name="M_TABLE_27125" displayName="M_TABLE_27125" ref="B23:I44" totalsRowShown="0">
  <autoFilter ref="B23:I44" xr:uid="{6019210F-A7F4-4B42-80B8-E514AD277A72}"/>
  <tableColumns count="8">
    <tableColumn id="9" xr3:uid="{1C51EE34-4A24-40A0-86EE-6AAABD9E0A3D}" name="産業中分類上位２０"/>
    <tableColumn id="10" xr3:uid="{932C16F9-E8BF-4D4F-9C55-AF04F4689415}" name="総数／事業所数" dataCellStyle="桁区切り"/>
    <tableColumn id="11" xr3:uid="{A2DDB0B5-96DF-4925-95AD-A6759E3BB61D}" name="総数／構成比" dataDxfId="733"/>
    <tableColumn id="12" xr3:uid="{F37D551C-8CF9-4C0A-94DC-0521EE5F3387}" name="個人／事業所数" dataCellStyle="桁区切り"/>
    <tableColumn id="13" xr3:uid="{AB4AE977-7A58-4190-83FA-0AE5BAE50823}" name="個人／構成比" dataDxfId="732"/>
    <tableColumn id="14" xr3:uid="{D32A87ED-6790-43FD-B9F2-781FD6C72D2F}" name="法人／事業所数" dataCellStyle="桁区切り"/>
    <tableColumn id="15" xr3:uid="{332CB669-D05A-46E5-9438-CF83A17767A7}" name="法人／構成比" dataDxfId="731"/>
    <tableColumn id="16" xr3:uid="{07F24C16-4A87-4B5B-A50C-27422F021D54}" name="法人以外の団体／事業所数" dataCellStyle="桁区切り"/>
  </tableColumns>
  <tableStyleInfo name="TableStyleMedium9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4ED10EAA-91AC-4BAB-8B32-9BD868392B1F}" name="S_TABLE_27125" displayName="S_TABLE_27125" ref="B47:I67" totalsRowShown="0">
  <autoFilter ref="B47:I67" xr:uid="{4ED10EAA-91AC-4BAB-8B32-9BD868392B1F}"/>
  <tableColumns count="8">
    <tableColumn id="9" xr3:uid="{1CEA7299-E18C-4377-9E8C-0E69AA3E6D79}" name="産業小分類上位２０"/>
    <tableColumn id="10" xr3:uid="{3E5203CD-9BCF-4605-89EF-B51E1A3A4596}" name="総数／事業所数" dataCellStyle="桁区切り"/>
    <tableColumn id="11" xr3:uid="{9329BA86-368D-43B9-BA12-48AECF5D6C31}" name="総数／構成比" dataDxfId="730"/>
    <tableColumn id="12" xr3:uid="{A2E43278-6BA4-4572-B4E1-8F54F1A755C2}" name="個人／事業所数" dataCellStyle="桁区切り"/>
    <tableColumn id="13" xr3:uid="{DC1B7690-A6D7-4659-9077-48CAC3EBF9DB}" name="個人／構成比" dataDxfId="729"/>
    <tableColumn id="14" xr3:uid="{A1D5E648-B327-4138-9566-AC7D5ED42E80}" name="法人／事業所数" dataCellStyle="桁区切り"/>
    <tableColumn id="15" xr3:uid="{803B25A9-82E5-4DE8-ADFB-782856B77B70}" name="法人／構成比" dataDxfId="728"/>
    <tableColumn id="16" xr3:uid="{C6E3DF92-DFB6-4925-9C76-0AB99D7283E3}" name="法人以外の団体／事業所数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4A1F2D3-A9EA-4969-8A0A-98A0FB53B853}" name="LTBL_27102" displayName="LTBL_27102" ref="B4:I20" totalsRowCount="1">
  <autoFilter ref="B4:I19" xr:uid="{E4A1F2D3-A9EA-4969-8A0A-98A0FB53B853}"/>
  <tableColumns count="8">
    <tableColumn id="9" xr3:uid="{F8E6E3B8-57DA-4745-A9EA-12CE28361FB6}" name="産業大分類" totalsRowLabel="合計" totalsRowDxfId="1021"/>
    <tableColumn id="10" xr3:uid="{1F83A24B-6903-4378-8D6A-236B444D0053}" name="総数／事業所数" totalsRowFunction="custom" totalsRowDxfId="1020" dataCellStyle="桁区切り" totalsRowCellStyle="桁区切り">
      <totalsRowFormula>SUM(LTBL_27102[総数／事業所数])</totalsRowFormula>
    </tableColumn>
    <tableColumn id="11" xr3:uid="{D084C5E1-2B04-457F-876A-201960BCA32C}" name="総数／構成比" dataDxfId="1019"/>
    <tableColumn id="12" xr3:uid="{4A609C6F-9E2E-461E-A4A7-D3943618B90D}" name="個人／事業所数" totalsRowFunction="sum" totalsRowDxfId="1018" dataCellStyle="桁区切り" totalsRowCellStyle="桁区切り"/>
    <tableColumn id="13" xr3:uid="{58EC37C1-8930-413C-9C22-047CCD10F174}" name="個人／構成比" dataDxfId="1017"/>
    <tableColumn id="14" xr3:uid="{31EA8525-E20F-46EC-97FC-D786F7FD56C0}" name="法人／事業所数" totalsRowFunction="sum" totalsRowDxfId="1016" dataCellStyle="桁区切り" totalsRowCellStyle="桁区切り"/>
    <tableColumn id="15" xr3:uid="{03632238-15CD-478A-ABD1-0E215FC46A38}" name="法人／構成比" dataDxfId="1015"/>
    <tableColumn id="16" xr3:uid="{5CBC23F3-0027-44AC-8550-C8C000FD4D68}" name="法人以外の団体／事業所数" totalsRowFunction="sum" totalsRowDxfId="1014" dataCellStyle="桁区切り" totalsRowCellStyle="桁区切り"/>
  </tableColumns>
  <tableStyleInfo name="TableStyleMedium9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5ECB6B71-22C2-4E1F-85B6-C2F785F45CCF}" name="LTBL_27126" displayName="LTBL_27126" ref="B4:I20" totalsRowCount="1">
  <autoFilter ref="B4:I19" xr:uid="{5ECB6B71-22C2-4E1F-85B6-C2F785F45CCF}"/>
  <tableColumns count="8">
    <tableColumn id="9" xr3:uid="{DF3FC324-6AFA-4926-80AB-E417996BFC96}" name="産業大分類" totalsRowLabel="合計" totalsRowDxfId="727"/>
    <tableColumn id="10" xr3:uid="{A8A97398-16A1-495E-A3A1-AD777B336735}" name="総数／事業所数" totalsRowFunction="custom" totalsRowDxfId="726" dataCellStyle="桁区切り" totalsRowCellStyle="桁区切り">
      <totalsRowFormula>SUM(LTBL_27126[総数／事業所数])</totalsRowFormula>
    </tableColumn>
    <tableColumn id="11" xr3:uid="{E50AB3D3-8664-42AA-BFC9-C840F5A97578}" name="総数／構成比" dataDxfId="725"/>
    <tableColumn id="12" xr3:uid="{BD10C711-C7E4-428D-98F0-55E5CC899465}" name="個人／事業所数" totalsRowFunction="sum" totalsRowDxfId="724" dataCellStyle="桁区切り" totalsRowCellStyle="桁区切り"/>
    <tableColumn id="13" xr3:uid="{3672680F-7C2F-435E-A8FF-6E1B6D55C22A}" name="個人／構成比" dataDxfId="723"/>
    <tableColumn id="14" xr3:uid="{0032EC88-DEF5-4AF7-949C-D81203F9A495}" name="法人／事業所数" totalsRowFunction="sum" totalsRowDxfId="722" dataCellStyle="桁区切り" totalsRowCellStyle="桁区切り"/>
    <tableColumn id="15" xr3:uid="{539163C2-7CA7-464D-B206-D35722A05A89}" name="法人／構成比" dataDxfId="721"/>
    <tableColumn id="16" xr3:uid="{0530E054-19E0-45E3-A19C-8FDC6DC7FACF}" name="法人以外の団体／事業所数" totalsRowFunction="sum" totalsRowDxfId="720" dataCellStyle="桁区切り" totalsRowCellStyle="桁区切り"/>
  </tableColumns>
  <tableStyleInfo name="TableStyleMedium9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18DA5396-7A63-4FC1-9972-4ACC670C2C1E}" name="M_TABLE_27126" displayName="M_TABLE_27126" ref="B23:I44" totalsRowShown="0">
  <autoFilter ref="B23:I44" xr:uid="{18DA5396-7A63-4FC1-9972-4ACC670C2C1E}"/>
  <tableColumns count="8">
    <tableColumn id="9" xr3:uid="{4A6491DA-18E4-44CB-AAA4-4C70E88A5AB7}" name="産業中分類上位２０"/>
    <tableColumn id="10" xr3:uid="{D06FF5F3-2C5C-4354-A7B4-131D8B5BD916}" name="総数／事業所数" dataCellStyle="桁区切り"/>
    <tableColumn id="11" xr3:uid="{5CDCB911-1299-4F49-83E3-249BE922590E}" name="総数／構成比" dataDxfId="719"/>
    <tableColumn id="12" xr3:uid="{D369B91E-04E8-46EE-AF90-073121AC8CD4}" name="個人／事業所数" dataCellStyle="桁区切り"/>
    <tableColumn id="13" xr3:uid="{114FF5C5-4A90-438D-A42E-E299C9631B84}" name="個人／構成比" dataDxfId="718"/>
    <tableColumn id="14" xr3:uid="{6B633109-DCE8-42DB-B5BD-8A5DD95BC59B}" name="法人／事業所数" dataCellStyle="桁区切り"/>
    <tableColumn id="15" xr3:uid="{86815233-4757-461A-A214-8588D3E3AF71}" name="法人／構成比" dataDxfId="717"/>
    <tableColumn id="16" xr3:uid="{F6252C2C-22D9-422A-B5FD-3E835E9A9B89}" name="法人以外の団体／事業所数" dataCellStyle="桁区切り"/>
  </tableColumns>
  <tableStyleInfo name="TableStyleMedium9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D14A274F-FDE9-4678-85F9-7F761A9933AA}" name="S_TABLE_27126" displayName="S_TABLE_27126" ref="B47:I67" totalsRowShown="0">
  <autoFilter ref="B47:I67" xr:uid="{D14A274F-FDE9-4678-85F9-7F761A9933AA}"/>
  <tableColumns count="8">
    <tableColumn id="9" xr3:uid="{11F2DFCE-476F-45B0-A742-0B1AA46423F9}" name="産業小分類上位２０"/>
    <tableColumn id="10" xr3:uid="{995B5A85-EE78-4718-8064-FABF7D1BF39B}" name="総数／事業所数" dataCellStyle="桁区切り"/>
    <tableColumn id="11" xr3:uid="{FF8E7161-021B-46CF-A065-5D02DC377A55}" name="総数／構成比" dataDxfId="716"/>
    <tableColumn id="12" xr3:uid="{78B94B24-EEBD-4FAE-96D4-FEA8EE25093B}" name="個人／事業所数" dataCellStyle="桁区切り"/>
    <tableColumn id="13" xr3:uid="{48C0D9EC-E423-4DAF-81DA-2FF490E73679}" name="個人／構成比" dataDxfId="715"/>
    <tableColumn id="14" xr3:uid="{33551E5A-B5A9-4B99-AD57-4792B31AD4C7}" name="法人／事業所数" dataCellStyle="桁区切り"/>
    <tableColumn id="15" xr3:uid="{B6F7062C-F0D6-4AD1-91F3-570673BA9AB3}" name="法人／構成比" dataDxfId="714"/>
    <tableColumn id="16" xr3:uid="{495CE609-9CFC-477E-822F-749EAD04EC0E}" name="法人以外の団体／事業所数" dataCellStyle="桁区切り"/>
  </tableColumns>
  <tableStyleInfo name="TableStyleMedium9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E41AD338-AE86-4774-8463-90903C9054C9}" name="LTBL_27127" displayName="LTBL_27127" ref="B4:I20" totalsRowCount="1">
  <autoFilter ref="B4:I19" xr:uid="{E41AD338-AE86-4774-8463-90903C9054C9}"/>
  <tableColumns count="8">
    <tableColumn id="9" xr3:uid="{9019235A-2C8B-4B5A-9604-AA1B4D1C177B}" name="産業大分類" totalsRowLabel="合計" totalsRowDxfId="713"/>
    <tableColumn id="10" xr3:uid="{E81934B3-1371-4CA3-8BA3-4074012D447B}" name="総数／事業所数" totalsRowFunction="custom" totalsRowDxfId="712" dataCellStyle="桁区切り" totalsRowCellStyle="桁区切り">
      <totalsRowFormula>SUM(LTBL_27127[総数／事業所数])</totalsRowFormula>
    </tableColumn>
    <tableColumn id="11" xr3:uid="{69E7468E-CC51-45DD-87CF-274F542FF9FC}" name="総数／構成比" dataDxfId="711"/>
    <tableColumn id="12" xr3:uid="{429A2043-EE7D-4CB2-96FB-609AF1A80B19}" name="個人／事業所数" totalsRowFunction="sum" totalsRowDxfId="710" dataCellStyle="桁区切り" totalsRowCellStyle="桁区切り"/>
    <tableColumn id="13" xr3:uid="{B424E60C-C7B9-4B58-A074-DBC33FA81B04}" name="個人／構成比" dataDxfId="709"/>
    <tableColumn id="14" xr3:uid="{E07DE890-36C6-44E8-BC8F-9809754DE772}" name="法人／事業所数" totalsRowFunction="sum" totalsRowDxfId="708" dataCellStyle="桁区切り" totalsRowCellStyle="桁区切り"/>
    <tableColumn id="15" xr3:uid="{812EBD31-831A-4F9E-9AA1-8D32FE75DAEF}" name="法人／構成比" dataDxfId="707"/>
    <tableColumn id="16" xr3:uid="{4B56C73E-E9B9-4008-B747-958651F0E37C}" name="法人以外の団体／事業所数" totalsRowFunction="sum" totalsRowDxfId="706" dataCellStyle="桁区切り" totalsRowCellStyle="桁区切り"/>
  </tableColumns>
  <tableStyleInfo name="TableStyleMedium9" showFirstColumn="0" showLastColumn="0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40AEBDB0-CCF1-4F04-864F-29722E9A9F3F}" name="M_TABLE_27127" displayName="M_TABLE_27127" ref="B23:I43" totalsRowShown="0">
  <autoFilter ref="B23:I43" xr:uid="{40AEBDB0-CCF1-4F04-864F-29722E9A9F3F}"/>
  <tableColumns count="8">
    <tableColumn id="9" xr3:uid="{0A7ED1C2-EBC3-4F30-B17C-C224926CBB7F}" name="産業中分類上位２０"/>
    <tableColumn id="10" xr3:uid="{73ECC3A9-B57C-4799-B99E-29DCC5B4F9F2}" name="総数／事業所数" dataCellStyle="桁区切り"/>
    <tableColumn id="11" xr3:uid="{EC787F55-CB65-4272-A18A-039210D018BC}" name="総数／構成比" dataDxfId="705"/>
    <tableColumn id="12" xr3:uid="{A23E727F-7704-499D-9B2D-66A4315C926C}" name="個人／事業所数" dataCellStyle="桁区切り"/>
    <tableColumn id="13" xr3:uid="{AF4DBB25-F3DD-48EB-88A1-AFEB3C00F94E}" name="個人／構成比" dataDxfId="704"/>
    <tableColumn id="14" xr3:uid="{3238D6CF-10DD-4A32-9A1B-D4AA31B13EA7}" name="法人／事業所数" dataCellStyle="桁区切り"/>
    <tableColumn id="15" xr3:uid="{4F697628-6C11-4365-8CCB-1FC3D74514A8}" name="法人／構成比" dataDxfId="703"/>
    <tableColumn id="16" xr3:uid="{FD9D2C74-29F7-45A7-BFB6-8C263560B2B2}" name="法人以外の団体／事業所数" dataCellStyle="桁区切り"/>
  </tableColumns>
  <tableStyleInfo name="TableStyleMedium9" showFirstColumn="0" showLastColumn="0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4023E8B8-D36A-404B-8EE9-001CC7759454}" name="S_TABLE_27127" displayName="S_TABLE_27127" ref="B46:I66" totalsRowShown="0">
  <autoFilter ref="B46:I66" xr:uid="{4023E8B8-D36A-404B-8EE9-001CC7759454}"/>
  <tableColumns count="8">
    <tableColumn id="9" xr3:uid="{D373B432-FF8B-4930-B301-29B554138A01}" name="産業小分類上位２０"/>
    <tableColumn id="10" xr3:uid="{293E6D68-EA93-493C-976D-EA80EAB8FCA6}" name="総数／事業所数" dataCellStyle="桁区切り"/>
    <tableColumn id="11" xr3:uid="{AD12459B-124A-4CD1-AE24-2BA969444339}" name="総数／構成比" dataDxfId="702"/>
    <tableColumn id="12" xr3:uid="{34CEB1A1-49FF-448C-A48D-262ED8313911}" name="個人／事業所数" dataCellStyle="桁区切り"/>
    <tableColumn id="13" xr3:uid="{25F79796-D009-4685-9C30-7EAB2FF24EC1}" name="個人／構成比" dataDxfId="701"/>
    <tableColumn id="14" xr3:uid="{D205996A-B82B-4503-A4BF-646A6F6853BF}" name="法人／事業所数" dataCellStyle="桁区切り"/>
    <tableColumn id="15" xr3:uid="{A86FA858-0DFA-4C56-A6BA-EF28D58B8AD2}" name="法人／構成比" dataDxfId="700"/>
    <tableColumn id="16" xr3:uid="{D4F6E877-20CC-46EE-B5E2-4EFEC2748CCA}" name="法人以外の団体／事業所数" dataCellStyle="桁区切り"/>
  </tableColumns>
  <tableStyleInfo name="TableStyleMedium9" showFirstColumn="0" showLastColumn="0" showRowStripes="1" showColumnStripes="0"/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2A5C03C8-74D9-4DBA-B5C1-994A9D40038F}" name="LTBL_27128" displayName="LTBL_27128" ref="B4:I20" totalsRowCount="1">
  <autoFilter ref="B4:I19" xr:uid="{2A5C03C8-74D9-4DBA-B5C1-994A9D40038F}"/>
  <tableColumns count="8">
    <tableColumn id="9" xr3:uid="{B11B5967-3E09-456A-9B92-DA554E0FD80B}" name="産業大分類" totalsRowLabel="合計" totalsRowDxfId="699"/>
    <tableColumn id="10" xr3:uid="{3E8316B3-4E56-4CEA-91D6-C0A29DA916B1}" name="総数／事業所数" totalsRowFunction="custom" totalsRowDxfId="698" dataCellStyle="桁区切り" totalsRowCellStyle="桁区切り">
      <totalsRowFormula>SUM(LTBL_27128[総数／事業所数])</totalsRowFormula>
    </tableColumn>
    <tableColumn id="11" xr3:uid="{3C3B04EE-F440-4761-96F8-152554444846}" name="総数／構成比" dataDxfId="697"/>
    <tableColumn id="12" xr3:uid="{CA28A52A-1D60-44D5-9804-80BC6F7032DE}" name="個人／事業所数" totalsRowFunction="sum" totalsRowDxfId="696" dataCellStyle="桁区切り" totalsRowCellStyle="桁区切り"/>
    <tableColumn id="13" xr3:uid="{608138DC-C79E-4792-9DDE-88B0A9792E49}" name="個人／構成比" dataDxfId="695"/>
    <tableColumn id="14" xr3:uid="{FA4CB69B-FFE9-4C4C-AC0F-62F54259E76B}" name="法人／事業所数" totalsRowFunction="sum" totalsRowDxfId="694" dataCellStyle="桁区切り" totalsRowCellStyle="桁区切り"/>
    <tableColumn id="15" xr3:uid="{28BE6FB4-EEA0-4F58-83FF-CB0562BBDE7F}" name="法人／構成比" dataDxfId="693"/>
    <tableColumn id="16" xr3:uid="{4E106111-4C94-488C-B008-CE37F29F6B1F}" name="法人以外の団体／事業所数" totalsRowFunction="sum" totalsRowDxfId="692" dataCellStyle="桁区切り" totalsRowCellStyle="桁区切り"/>
  </tableColumns>
  <tableStyleInfo name="TableStyleMedium9" showFirstColumn="0" showLastColumn="0" showRowStripes="1" showColumnStripes="0"/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7E41E2A6-F5D8-424F-8A5B-3F288883B3B1}" name="M_TABLE_27128" displayName="M_TABLE_27128" ref="B23:I43" totalsRowShown="0">
  <autoFilter ref="B23:I43" xr:uid="{7E41E2A6-F5D8-424F-8A5B-3F288883B3B1}"/>
  <tableColumns count="8">
    <tableColumn id="9" xr3:uid="{3121A141-D7B3-414D-9FE6-CB0205FD937B}" name="産業中分類上位２０"/>
    <tableColumn id="10" xr3:uid="{878C09B3-BA87-40DB-B0E0-27E954261870}" name="総数／事業所数" dataCellStyle="桁区切り"/>
    <tableColumn id="11" xr3:uid="{6DFA13FC-9F13-4590-8475-B89334F8F19A}" name="総数／構成比" dataDxfId="691"/>
    <tableColumn id="12" xr3:uid="{3F74C96C-FBDC-4491-8E78-5C0D89C95334}" name="個人／事業所数" dataCellStyle="桁区切り"/>
    <tableColumn id="13" xr3:uid="{CCBC5A7D-B0BB-4E1B-8805-E4EF094CB520}" name="個人／構成比" dataDxfId="690"/>
    <tableColumn id="14" xr3:uid="{D7BEC6A4-D704-4CFE-BE34-D318F80172C4}" name="法人／事業所数" dataCellStyle="桁区切り"/>
    <tableColumn id="15" xr3:uid="{F8239CA8-DB0B-4FF6-8FC4-F820A428ADDA}" name="法人／構成比" dataDxfId="689"/>
    <tableColumn id="16" xr3:uid="{5EAC13FB-7943-48F0-B181-7B61E7778483}" name="法人以外の団体／事業所数" dataCellStyle="桁区切り"/>
  </tableColumns>
  <tableStyleInfo name="TableStyleMedium9" showFirstColumn="0" showLastColumn="0" showRowStripes="1" showColumnStripes="0"/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0C043F54-29C5-47E6-9428-25B908E68D56}" name="S_TABLE_27128" displayName="S_TABLE_27128" ref="B46:I66" totalsRowShown="0">
  <autoFilter ref="B46:I66" xr:uid="{0C043F54-29C5-47E6-9428-25B908E68D56}"/>
  <tableColumns count="8">
    <tableColumn id="9" xr3:uid="{A1244830-6DC0-4D13-85BE-336228342182}" name="産業小分類上位２０"/>
    <tableColumn id="10" xr3:uid="{760E7EA9-7D9E-411F-BA8B-C06246FD2FF6}" name="総数／事業所数" dataCellStyle="桁区切り"/>
    <tableColumn id="11" xr3:uid="{1056F803-FA52-4346-87B8-FF448700C118}" name="総数／構成比" dataDxfId="688"/>
    <tableColumn id="12" xr3:uid="{32C5995F-4892-43E0-AF0A-F60837E9F940}" name="個人／事業所数" dataCellStyle="桁区切り"/>
    <tableColumn id="13" xr3:uid="{9848CD83-0726-41AB-87FF-9781AD0667E7}" name="個人／構成比" dataDxfId="687"/>
    <tableColumn id="14" xr3:uid="{900B6719-4351-4334-8879-46038A02A66F}" name="法人／事業所数" dataCellStyle="桁区切り"/>
    <tableColumn id="15" xr3:uid="{727B884D-2DF0-4475-9913-C32F78BF4B59}" name="法人／構成比" dataDxfId="686"/>
    <tableColumn id="16" xr3:uid="{0FCF6BA2-8C79-423F-8FEA-57C8092BB8BF}" name="法人以外の団体／事業所数" dataCellStyle="桁区切り"/>
  </tableColumns>
  <tableStyleInfo name="TableStyleMedium9" showFirstColumn="0" showLastColumn="0" showRowStripes="1" showColumnStripes="0"/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14AB0D9C-C973-4D62-A6A2-3BB6977FD382}" name="LTBL_27140" displayName="LTBL_27140" ref="B4:I20" totalsRowCount="1">
  <autoFilter ref="B4:I19" xr:uid="{14AB0D9C-C973-4D62-A6A2-3BB6977FD382}"/>
  <tableColumns count="8">
    <tableColumn id="9" xr3:uid="{8A74D24B-FE11-4C63-975C-9F41F51D1D4D}" name="産業大分類" totalsRowLabel="合計" totalsRowDxfId="685"/>
    <tableColumn id="10" xr3:uid="{0AE7A709-CE52-4072-BDE9-64B9C86DE794}" name="総数／事業所数" totalsRowFunction="custom" totalsRowDxfId="684" dataCellStyle="桁区切り" totalsRowCellStyle="桁区切り">
      <totalsRowFormula>SUM(LTBL_27140[総数／事業所数])</totalsRowFormula>
    </tableColumn>
    <tableColumn id="11" xr3:uid="{96F5B09F-556F-4CAD-AE4D-966E0A840910}" name="総数／構成比" dataDxfId="683"/>
    <tableColumn id="12" xr3:uid="{B8C82127-2756-4F2F-B01C-9E5B8C55AE45}" name="個人／事業所数" totalsRowFunction="sum" totalsRowDxfId="682" dataCellStyle="桁区切り" totalsRowCellStyle="桁区切り"/>
    <tableColumn id="13" xr3:uid="{A0A2DBDC-76CC-4D9D-9F73-4BD5BD98C4C5}" name="個人／構成比" dataDxfId="681"/>
    <tableColumn id="14" xr3:uid="{F33124C2-E25E-43AC-829D-29BAE4C668E2}" name="法人／事業所数" totalsRowFunction="sum" totalsRowDxfId="680" dataCellStyle="桁区切り" totalsRowCellStyle="桁区切り"/>
    <tableColumn id="15" xr3:uid="{D8BCAFB6-3EC1-4572-B403-4728462F0E0D}" name="法人／構成比" dataDxfId="679"/>
    <tableColumn id="16" xr3:uid="{5BB99C4B-0BC0-4E8E-9F72-E137FB0315D3}" name="法人以外の団体／事業所数" totalsRowFunction="sum" totalsRowDxfId="678" dataCellStyle="桁区切り" totalsRow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1F5B7BB-AA0F-464C-B40E-9CB4F2444901}" name="M_TABLE_27102" displayName="M_TABLE_27102" ref="B23:I44" totalsRowShown="0">
  <autoFilter ref="B23:I44" xr:uid="{D1F5B7BB-AA0F-464C-B40E-9CB4F2444901}"/>
  <tableColumns count="8">
    <tableColumn id="9" xr3:uid="{18AA11A5-C3BD-4B99-B96A-44F32084B06E}" name="産業中分類上位２０"/>
    <tableColumn id="10" xr3:uid="{DCFFF96A-DADA-4634-9F5A-49060A739101}" name="総数／事業所数" dataCellStyle="桁区切り"/>
    <tableColumn id="11" xr3:uid="{5A4EE825-9D8F-485C-8685-61000FEBF359}" name="総数／構成比" dataDxfId="1013"/>
    <tableColumn id="12" xr3:uid="{5EE4D8D7-156E-4FCE-AD83-92845F61326D}" name="個人／事業所数" dataCellStyle="桁区切り"/>
    <tableColumn id="13" xr3:uid="{6258B82B-7CE0-4E0D-A53A-4BD901AFB0F1}" name="個人／構成比" dataDxfId="1012"/>
    <tableColumn id="14" xr3:uid="{A74B39F7-C807-4BE2-B83D-B4DDADB81F7E}" name="法人／事業所数" dataCellStyle="桁区切り"/>
    <tableColumn id="15" xr3:uid="{45460752-AE29-4E51-A50D-AE5013EACAEA}" name="法人／構成比" dataDxfId="1011"/>
    <tableColumn id="16" xr3:uid="{A9F58B4E-156A-4B58-9D51-2DB102690A85}" name="法人以外の団体／事業所数" dataCellStyle="桁区切り"/>
  </tableColumns>
  <tableStyleInfo name="TableStyleMedium9" showFirstColumn="0" showLastColumn="0" showRowStripes="1" showColumnStripes="0"/>
</table>
</file>

<file path=xl/tables/table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BFD62D08-FD94-48F6-BEDF-456EB54DF70F}" name="M_TABLE_27140" displayName="M_TABLE_27140" ref="B23:I43" totalsRowShown="0">
  <autoFilter ref="B23:I43" xr:uid="{BFD62D08-FD94-48F6-BEDF-456EB54DF70F}"/>
  <tableColumns count="8">
    <tableColumn id="9" xr3:uid="{3BA5AB8D-1A60-4A43-9986-CB791077E105}" name="産業中分類上位２０"/>
    <tableColumn id="10" xr3:uid="{DD979C93-32D7-4BDD-904D-247FC21DE811}" name="総数／事業所数" dataCellStyle="桁区切り"/>
    <tableColumn id="11" xr3:uid="{0DA33F8E-F99A-4F7E-A5B4-6C55EBAA7809}" name="総数／構成比" dataDxfId="677"/>
    <tableColumn id="12" xr3:uid="{935570D4-4EC0-46BE-B4FC-CBDC0F101CA2}" name="個人／事業所数" dataCellStyle="桁区切り"/>
    <tableColumn id="13" xr3:uid="{8717B99A-A389-4498-A889-9BAA78D881D7}" name="個人／構成比" dataDxfId="676"/>
    <tableColumn id="14" xr3:uid="{92AA0E54-897D-420A-8FFD-9FE0E55C80D1}" name="法人／事業所数" dataCellStyle="桁区切り"/>
    <tableColumn id="15" xr3:uid="{6717CF62-8E40-4A64-AD4F-81007A7B099F}" name="法人／構成比" dataDxfId="675"/>
    <tableColumn id="16" xr3:uid="{BE8DC57E-00F5-4BEE-B688-8081E35D4ABE}" name="法人以外の団体／事業所数" dataCellStyle="桁区切り"/>
  </tableColumns>
  <tableStyleInfo name="TableStyleMedium9" showFirstColumn="0" showLastColumn="0" showRowStripes="1" showColumnStripes="0"/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E979B4C6-E5BC-47C2-A0A2-9EDAAA9FECBF}" name="S_TABLE_27140" displayName="S_TABLE_27140" ref="B46:I66" totalsRowShown="0">
  <autoFilter ref="B46:I66" xr:uid="{E979B4C6-E5BC-47C2-A0A2-9EDAAA9FECBF}"/>
  <tableColumns count="8">
    <tableColumn id="9" xr3:uid="{189F101E-EBBF-4353-9893-AAA451BAA271}" name="産業小分類上位２０"/>
    <tableColumn id="10" xr3:uid="{FF45B2E7-5109-4AB2-ADB7-0563D3C1AF9C}" name="総数／事業所数" dataCellStyle="桁区切り"/>
    <tableColumn id="11" xr3:uid="{62B996B9-CA02-46BB-A6CD-84F50AF25C90}" name="総数／構成比" dataDxfId="674"/>
    <tableColumn id="12" xr3:uid="{D5E9B8EF-FC04-4BEE-A7B6-2464782E3264}" name="個人／事業所数" dataCellStyle="桁区切り"/>
    <tableColumn id="13" xr3:uid="{917A69A8-2C3F-47EA-A78E-332396CEBC71}" name="個人／構成比" dataDxfId="673"/>
    <tableColumn id="14" xr3:uid="{9BCFD5AA-5DB3-4D01-BFA2-EFE5A968F37E}" name="法人／事業所数" dataCellStyle="桁区切り"/>
    <tableColumn id="15" xr3:uid="{20508BB5-B292-470A-B0F3-9C647E8EBDE7}" name="法人／構成比" dataDxfId="672"/>
    <tableColumn id="16" xr3:uid="{DA5CF1BC-8E36-4C42-9C90-AB3366A411BF}" name="法人以外の団体／事業所数" dataCellStyle="桁区切り"/>
  </tableColumns>
  <tableStyleInfo name="TableStyleMedium9" showFirstColumn="0" showLastColumn="0" showRowStripes="1" showColumnStripes="0"/>
</table>
</file>

<file path=xl/tables/table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1BA79051-6ED6-4FF7-9D7E-448D5B743942}" name="LTBL_27141" displayName="LTBL_27141" ref="B4:I20" totalsRowCount="1">
  <autoFilter ref="B4:I19" xr:uid="{1BA79051-6ED6-4FF7-9D7E-448D5B743942}"/>
  <tableColumns count="8">
    <tableColumn id="9" xr3:uid="{5F2D4083-78C8-4767-ACE9-D6CCC436AB7F}" name="産業大分類" totalsRowLabel="合計" totalsRowDxfId="671"/>
    <tableColumn id="10" xr3:uid="{D022DE00-FCED-4500-AD55-1E2ACE107390}" name="総数／事業所数" totalsRowFunction="custom" totalsRowDxfId="670" dataCellStyle="桁区切り" totalsRowCellStyle="桁区切り">
      <totalsRowFormula>SUM(LTBL_27141[総数／事業所数])</totalsRowFormula>
    </tableColumn>
    <tableColumn id="11" xr3:uid="{4021DC75-5035-4492-B034-80CA9CA3BA7E}" name="総数／構成比" dataDxfId="669"/>
    <tableColumn id="12" xr3:uid="{5B01B329-B21A-458D-8B82-58C25AA7F2E3}" name="個人／事業所数" totalsRowFunction="sum" totalsRowDxfId="668" dataCellStyle="桁区切り" totalsRowCellStyle="桁区切り"/>
    <tableColumn id="13" xr3:uid="{68E09C9E-96A4-4520-ABC6-687686C3EC17}" name="個人／構成比" dataDxfId="667"/>
    <tableColumn id="14" xr3:uid="{0966A47E-3CD7-46A7-9B91-D150E9FDCEEC}" name="法人／事業所数" totalsRowFunction="sum" totalsRowDxfId="666" dataCellStyle="桁区切り" totalsRowCellStyle="桁区切り"/>
    <tableColumn id="15" xr3:uid="{C4B2153B-0629-4053-9C76-1B30E70B3BFD}" name="法人／構成比" dataDxfId="665"/>
    <tableColumn id="16" xr3:uid="{DEDDF1EB-AA4B-4C1C-B54E-AE899C7D8C59}" name="法人以外の団体／事業所数" totalsRowFunction="sum" totalsRowDxfId="664" dataCellStyle="桁区切り" totalsRowCellStyle="桁区切り"/>
  </tableColumns>
  <tableStyleInfo name="TableStyleMedium9" showFirstColumn="0" showLastColumn="0" showRowStripes="1" showColumnStripes="0"/>
</table>
</file>

<file path=xl/tables/table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976E8D18-E075-4E72-8085-27B85E3D54D2}" name="M_TABLE_27141" displayName="M_TABLE_27141" ref="B23:I43" totalsRowShown="0">
  <autoFilter ref="B23:I43" xr:uid="{976E8D18-E075-4E72-8085-27B85E3D54D2}"/>
  <tableColumns count="8">
    <tableColumn id="9" xr3:uid="{0B967EC3-CC2E-4121-B5A4-D238D67E6E49}" name="産業中分類上位２０"/>
    <tableColumn id="10" xr3:uid="{B451C208-C478-4935-830C-2276F2DECD6F}" name="総数／事業所数" dataCellStyle="桁区切り"/>
    <tableColumn id="11" xr3:uid="{45C1B425-4507-433F-986C-793BB8DAF13A}" name="総数／構成比" dataDxfId="663"/>
    <tableColumn id="12" xr3:uid="{B233240F-BDDA-44AB-827D-73ECF4C0A5FC}" name="個人／事業所数" dataCellStyle="桁区切り"/>
    <tableColumn id="13" xr3:uid="{F4FE4AF3-389D-42B0-A5A6-FE82F3721271}" name="個人／構成比" dataDxfId="662"/>
    <tableColumn id="14" xr3:uid="{8754DCAF-4E4B-4399-951A-3B6EC5E092D7}" name="法人／事業所数" dataCellStyle="桁区切り"/>
    <tableColumn id="15" xr3:uid="{43D406B8-D821-4C51-8577-5A9DF9448FF7}" name="法人／構成比" dataDxfId="661"/>
    <tableColumn id="16" xr3:uid="{419A9B2D-7FA6-4A80-B91E-1DDCB5C995D5}" name="法人以外の団体／事業所数" dataCellStyle="桁区切り"/>
  </tableColumns>
  <tableStyleInfo name="TableStyleMedium9" showFirstColumn="0" showLastColumn="0" showRowStripes="1" showColumnStripes="0"/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2E75625C-038B-4717-8409-E6706E369FE7}" name="S_TABLE_27141" displayName="S_TABLE_27141" ref="B46:I66" totalsRowShown="0">
  <autoFilter ref="B46:I66" xr:uid="{2E75625C-038B-4717-8409-E6706E369FE7}"/>
  <tableColumns count="8">
    <tableColumn id="9" xr3:uid="{5A67394B-2661-4F60-87DC-B6D6AEBDC109}" name="産業小分類上位２０"/>
    <tableColumn id="10" xr3:uid="{69EC9111-5021-414C-AAD9-A3F2DD7DCB79}" name="総数／事業所数" dataCellStyle="桁区切り"/>
    <tableColumn id="11" xr3:uid="{F1117ACA-2570-49A8-81B9-7453F4EBA145}" name="総数／構成比" dataDxfId="660"/>
    <tableColumn id="12" xr3:uid="{7387C5EE-5B0A-46B6-9AA0-2D3B04A8A1D0}" name="個人／事業所数" dataCellStyle="桁区切り"/>
    <tableColumn id="13" xr3:uid="{93974D70-C121-49B9-8341-9972EBE12E8C}" name="個人／構成比" dataDxfId="659"/>
    <tableColumn id="14" xr3:uid="{8637DFC3-A8EA-4F65-9455-5DAD4AD2EB35}" name="法人／事業所数" dataCellStyle="桁区切り"/>
    <tableColumn id="15" xr3:uid="{5F9F3355-91DC-41A3-8F72-F81EAAE57516}" name="法人／構成比" dataDxfId="658"/>
    <tableColumn id="16" xr3:uid="{234B6EDF-D852-472D-84D4-909AF37CCF7B}" name="法人以外の団体／事業所数" dataCellStyle="桁区切り"/>
  </tableColumns>
  <tableStyleInfo name="TableStyleMedium9" showFirstColumn="0" showLastColumn="0" showRowStripes="1" showColumnStripes="0"/>
</table>
</file>

<file path=xl/tables/table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9BB7CF77-483B-4130-B884-3A836DF7CB09}" name="LTBL_27142" displayName="LTBL_27142" ref="B4:I20" totalsRowCount="1">
  <autoFilter ref="B4:I19" xr:uid="{9BB7CF77-483B-4130-B884-3A836DF7CB09}"/>
  <tableColumns count="8">
    <tableColumn id="9" xr3:uid="{2992D6F2-DB9A-45CB-B9A1-094914D7EFD2}" name="産業大分類" totalsRowLabel="合計" totalsRowDxfId="657"/>
    <tableColumn id="10" xr3:uid="{4D900003-3F58-4204-A2A4-A220F4DF85A3}" name="総数／事業所数" totalsRowFunction="custom" totalsRowDxfId="656" dataCellStyle="桁区切り" totalsRowCellStyle="桁区切り">
      <totalsRowFormula>SUM(LTBL_27142[総数／事業所数])</totalsRowFormula>
    </tableColumn>
    <tableColumn id="11" xr3:uid="{F0E39BD5-CD5E-4559-BF7C-F26322510DB8}" name="総数／構成比" dataDxfId="655"/>
    <tableColumn id="12" xr3:uid="{90C66ED0-DC2F-40EB-9193-7C822C29727F}" name="個人／事業所数" totalsRowFunction="sum" totalsRowDxfId="654" dataCellStyle="桁区切り" totalsRowCellStyle="桁区切り"/>
    <tableColumn id="13" xr3:uid="{823F4E0F-1DFA-4A9B-AA61-D134676AFF95}" name="個人／構成比" dataDxfId="653"/>
    <tableColumn id="14" xr3:uid="{505E3CAB-20A8-437A-A8C9-DAD9BB7B1B84}" name="法人／事業所数" totalsRowFunction="sum" totalsRowDxfId="652" dataCellStyle="桁区切り" totalsRowCellStyle="桁区切り"/>
    <tableColumn id="15" xr3:uid="{2AFC128D-D3A0-45C8-BC01-E64547098933}" name="法人／構成比" dataDxfId="651"/>
    <tableColumn id="16" xr3:uid="{C62F65F7-E647-40B6-8410-931618673C0A}" name="法人以外の団体／事業所数" totalsRowFunction="sum" totalsRowDxfId="650" dataCellStyle="桁区切り" totalsRowCellStyle="桁区切り"/>
  </tableColumns>
  <tableStyleInfo name="TableStyleMedium9" showFirstColumn="0" showLastColumn="0" showRowStripes="1" showColumnStripes="0"/>
</table>
</file>

<file path=xl/tables/table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A45AD05A-FC63-4DD1-8DF2-A2D0B15D7E13}" name="M_TABLE_27142" displayName="M_TABLE_27142" ref="B23:I43" totalsRowShown="0">
  <autoFilter ref="B23:I43" xr:uid="{A45AD05A-FC63-4DD1-8DF2-A2D0B15D7E13}"/>
  <tableColumns count="8">
    <tableColumn id="9" xr3:uid="{BBB90783-DA26-452A-A122-5AB2CA10CD69}" name="産業中分類上位２０"/>
    <tableColumn id="10" xr3:uid="{7710549C-4909-4484-9F47-E7C3E7DAF494}" name="総数／事業所数" dataCellStyle="桁区切り"/>
    <tableColumn id="11" xr3:uid="{F333DD42-1A4C-4407-80C7-4969364BD316}" name="総数／構成比" dataDxfId="649"/>
    <tableColumn id="12" xr3:uid="{2D7D0185-C755-4659-9C36-CAB7AED80A46}" name="個人／事業所数" dataCellStyle="桁区切り"/>
    <tableColumn id="13" xr3:uid="{40DEEF5B-0F2E-4C5E-AD3B-8939FE3D4D09}" name="個人／構成比" dataDxfId="648"/>
    <tableColumn id="14" xr3:uid="{1128501B-0EEE-47DC-95D5-5B9D72EC8436}" name="法人／事業所数" dataCellStyle="桁区切り"/>
    <tableColumn id="15" xr3:uid="{29129F30-46F6-4BB0-92EB-541E6E337D9F}" name="法人／構成比" dataDxfId="647"/>
    <tableColumn id="16" xr3:uid="{53AC9A39-C3C3-4298-BAA7-05A7F104D053}" name="法人以外の団体／事業所数" dataCellStyle="桁区切り"/>
  </tableColumns>
  <tableStyleInfo name="TableStyleMedium9" showFirstColumn="0" showLastColumn="0" showRowStripes="1" showColumnStripes="0"/>
</table>
</file>

<file path=xl/tables/table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938D5833-E7E7-484C-A28A-F46842C76FA6}" name="S_TABLE_27142" displayName="S_TABLE_27142" ref="B46:I66" totalsRowShown="0">
  <autoFilter ref="B46:I66" xr:uid="{938D5833-E7E7-484C-A28A-F46842C76FA6}"/>
  <tableColumns count="8">
    <tableColumn id="9" xr3:uid="{64C6F20F-12CC-47F2-8CDD-F86A8FAF7B66}" name="産業小分類上位２０"/>
    <tableColumn id="10" xr3:uid="{16A4745A-626C-4C8F-AE4B-E6FF914CA094}" name="総数／事業所数" dataCellStyle="桁区切り"/>
    <tableColumn id="11" xr3:uid="{7BFFEF36-A27A-4452-9B39-2A5D3B61BA4B}" name="総数／構成比" dataDxfId="646"/>
    <tableColumn id="12" xr3:uid="{F25D55C5-5EB1-494B-B38D-9AE4E5F2F0FF}" name="個人／事業所数" dataCellStyle="桁区切り"/>
    <tableColumn id="13" xr3:uid="{821725EB-17E1-4CB1-9670-0CCB1D6DE957}" name="個人／構成比" dataDxfId="645"/>
    <tableColumn id="14" xr3:uid="{0D949BEA-9132-405F-8B62-319E1D1240ED}" name="法人／事業所数" dataCellStyle="桁区切り"/>
    <tableColumn id="15" xr3:uid="{73F7DD77-0287-4271-A772-B1225ADDC892}" name="法人／構成比" dataDxfId="644"/>
    <tableColumn id="16" xr3:uid="{C817CD49-DBD5-4A69-BE25-351561535480}" name="法人以外の団体／事業所数" dataCellStyle="桁区切り"/>
  </tableColumns>
  <tableStyleInfo name="TableStyleMedium9" showFirstColumn="0" showLastColumn="0" showRowStripes="1" showColumnStripes="0"/>
</table>
</file>

<file path=xl/tables/table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3D9541BD-9A51-4672-8C76-19A7C8A8E712}" name="LTBL_27143" displayName="LTBL_27143" ref="B4:I20" totalsRowCount="1">
  <autoFilter ref="B4:I19" xr:uid="{3D9541BD-9A51-4672-8C76-19A7C8A8E712}"/>
  <tableColumns count="8">
    <tableColumn id="9" xr3:uid="{C49860B9-E0EA-4C0D-9627-BC06DEA98809}" name="産業大分類" totalsRowLabel="合計" totalsRowDxfId="643"/>
    <tableColumn id="10" xr3:uid="{17D61371-0A5B-47D4-AAB9-D76DEFEAF5D6}" name="総数／事業所数" totalsRowFunction="custom" totalsRowDxfId="642" dataCellStyle="桁区切り" totalsRowCellStyle="桁区切り">
      <totalsRowFormula>SUM(LTBL_27143[総数／事業所数])</totalsRowFormula>
    </tableColumn>
    <tableColumn id="11" xr3:uid="{06B3D7EC-E890-4F8E-B9C9-D6BF19A9B5CA}" name="総数／構成比" dataDxfId="641"/>
    <tableColumn id="12" xr3:uid="{B24DEE34-9011-446F-93B1-C55819F33694}" name="個人／事業所数" totalsRowFunction="sum" totalsRowDxfId="640" dataCellStyle="桁区切り" totalsRowCellStyle="桁区切り"/>
    <tableColumn id="13" xr3:uid="{16C6C88C-3E35-42C8-947D-C8127B5FB129}" name="個人／構成比" dataDxfId="639"/>
    <tableColumn id="14" xr3:uid="{196318EC-2431-45DD-90F9-F137D50C26E5}" name="法人／事業所数" totalsRowFunction="sum" totalsRowDxfId="638" dataCellStyle="桁区切り" totalsRowCellStyle="桁区切り"/>
    <tableColumn id="15" xr3:uid="{7C2FACAB-2EEE-4E20-A15A-0836B7DC83CC}" name="法人／構成比" dataDxfId="637"/>
    <tableColumn id="16" xr3:uid="{9CE37293-2FFC-4A9A-9185-E8183506D79A}" name="法人以外の団体／事業所数" totalsRowFunction="sum" totalsRowDxfId="636" dataCellStyle="桁区切り" totalsRowCellStyle="桁区切り"/>
  </tableColumns>
  <tableStyleInfo name="TableStyleMedium9" showFirstColumn="0" showLastColumn="0" showRowStripes="1" showColumnStripes="0"/>
</table>
</file>

<file path=xl/tables/table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45391BF1-4E41-4028-81D7-B3876223CF3A}" name="M_TABLE_27143" displayName="M_TABLE_27143" ref="B23:I43" totalsRowShown="0">
  <autoFilter ref="B23:I43" xr:uid="{45391BF1-4E41-4028-81D7-B3876223CF3A}"/>
  <tableColumns count="8">
    <tableColumn id="9" xr3:uid="{88320129-BF87-4627-A10A-CCAF62D11DF3}" name="産業中分類上位２０"/>
    <tableColumn id="10" xr3:uid="{4CA39329-EEAE-4194-8F93-8238A6065BD7}" name="総数／事業所数" dataCellStyle="桁区切り"/>
    <tableColumn id="11" xr3:uid="{0F467203-DC98-4C0F-8C48-80258AB0C778}" name="総数／構成比" dataDxfId="635"/>
    <tableColumn id="12" xr3:uid="{5DEC3971-8F7B-46C1-8B0F-1A4759E0DF18}" name="個人／事業所数" dataCellStyle="桁区切り"/>
    <tableColumn id="13" xr3:uid="{3DEB6101-6843-4A9D-B19F-20A7A3028750}" name="個人／構成比" dataDxfId="634"/>
    <tableColumn id="14" xr3:uid="{4415B4E3-5027-4AD9-A234-8CF85EF8BBFB}" name="法人／事業所数" dataCellStyle="桁区切り"/>
    <tableColumn id="15" xr3:uid="{733D062A-8473-4727-8E53-28A20A103A9E}" name="法人／構成比" dataDxfId="633"/>
    <tableColumn id="16" xr3:uid="{56CD7708-968E-4A97-A499-DB378407521C}" name="法人以外の団体／事業所数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B27F0D8-CA4E-4474-8DB4-07112DBB86BC}" name="S_TABLE_27102" displayName="S_TABLE_27102" ref="B47:I68" totalsRowShown="0">
  <autoFilter ref="B47:I68" xr:uid="{8B27F0D8-CA4E-4474-8DB4-07112DBB86BC}"/>
  <tableColumns count="8">
    <tableColumn id="9" xr3:uid="{34A03C46-0EC4-4CF9-B99D-7CC49D9D9352}" name="産業小分類上位２０"/>
    <tableColumn id="10" xr3:uid="{786C8ABB-44FF-46F7-90ED-0FCA347F5022}" name="総数／事業所数" dataCellStyle="桁区切り"/>
    <tableColumn id="11" xr3:uid="{17BBA345-EA5A-4DFD-B7A6-9A5E900EB3BD}" name="総数／構成比" dataDxfId="1010"/>
    <tableColumn id="12" xr3:uid="{1879B9FC-9E1A-41EA-8D7A-56A337332AC0}" name="個人／事業所数" dataCellStyle="桁区切り"/>
    <tableColumn id="13" xr3:uid="{260C5EF8-648D-41B8-A921-49F5176E73CB}" name="個人／構成比" dataDxfId="1009"/>
    <tableColumn id="14" xr3:uid="{07D657E2-952F-462F-9388-F8BD5C2393C5}" name="法人／事業所数" dataCellStyle="桁区切り"/>
    <tableColumn id="15" xr3:uid="{518ECF74-4E7A-4E8D-B851-25BDE48A9B3A}" name="法人／構成比" dataDxfId="1008"/>
    <tableColumn id="16" xr3:uid="{AC319DA4-3D3C-4BE0-A4A3-A7E65B130C02}" name="法人以外の団体／事業所数" dataCellStyle="桁区切り"/>
  </tableColumns>
  <tableStyleInfo name="TableStyleMedium9" showFirstColumn="0" showLastColumn="0" showRowStripes="1" showColumnStripes="0"/>
</table>
</file>

<file path=xl/tables/table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571DF8A5-B45D-4B1F-897B-BFAA2DA278CD}" name="S_TABLE_27143" displayName="S_TABLE_27143" ref="B46:I68" totalsRowShown="0">
  <autoFilter ref="B46:I68" xr:uid="{571DF8A5-B45D-4B1F-897B-BFAA2DA278CD}"/>
  <tableColumns count="8">
    <tableColumn id="9" xr3:uid="{27538B4A-821D-4D97-8B69-45A0BF3C2A90}" name="産業小分類上位２０"/>
    <tableColumn id="10" xr3:uid="{FBCB17FB-06DD-4E5A-AAF6-4E9DA3624C2B}" name="総数／事業所数" dataCellStyle="桁区切り"/>
    <tableColumn id="11" xr3:uid="{4F326986-B2DC-4719-863F-4BEAD030CB6C}" name="総数／構成比" dataDxfId="632"/>
    <tableColumn id="12" xr3:uid="{6DE02A99-AFA9-4379-AF1B-8457513015A5}" name="個人／事業所数" dataCellStyle="桁区切り"/>
    <tableColumn id="13" xr3:uid="{C8B57401-6BA7-424B-BBAB-1173A3CB475C}" name="個人／構成比" dataDxfId="631"/>
    <tableColumn id="14" xr3:uid="{9C51E565-830E-4171-9BE1-FED26F6A3326}" name="法人／事業所数" dataCellStyle="桁区切り"/>
    <tableColumn id="15" xr3:uid="{9948F0B9-0AB1-4831-B139-5CFB6C568E2B}" name="法人／構成比" dataDxfId="630"/>
    <tableColumn id="16" xr3:uid="{2686745C-D5B8-43CE-B18C-B7DBC3AD8C07}" name="法人以外の団体／事業所数" dataCellStyle="桁区切り"/>
  </tableColumns>
  <tableStyleInfo name="TableStyleMedium9" showFirstColumn="0" showLastColumn="0" showRowStripes="1" showColumnStripes="0"/>
</table>
</file>

<file path=xl/tables/table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10DA1BF2-568B-4BCB-8AEB-1F04EC34A021}" name="LTBL_27144" displayName="LTBL_27144" ref="B4:I20" totalsRowCount="1">
  <autoFilter ref="B4:I19" xr:uid="{10DA1BF2-568B-4BCB-8AEB-1F04EC34A021}"/>
  <tableColumns count="8">
    <tableColumn id="9" xr3:uid="{140631A0-6C3D-423D-8046-9DBD59425CBF}" name="産業大分類" totalsRowLabel="合計" totalsRowDxfId="629"/>
    <tableColumn id="10" xr3:uid="{99B53D3F-C3BD-40E9-8FA6-0B3A18B2A26B}" name="総数／事業所数" totalsRowFunction="custom" totalsRowDxfId="628" dataCellStyle="桁区切り" totalsRowCellStyle="桁区切り">
      <totalsRowFormula>SUM(LTBL_27144[総数／事業所数])</totalsRowFormula>
    </tableColumn>
    <tableColumn id="11" xr3:uid="{30BEE16D-CCC5-4F1A-88DD-C72399BF0541}" name="総数／構成比" dataDxfId="627"/>
    <tableColumn id="12" xr3:uid="{CDD33E6F-58CC-47FB-A16B-7B7FBBE39061}" name="個人／事業所数" totalsRowFunction="sum" totalsRowDxfId="626" dataCellStyle="桁区切り" totalsRowCellStyle="桁区切り"/>
    <tableColumn id="13" xr3:uid="{A27CDEBA-B348-4533-B6B9-0BA97EC70248}" name="個人／構成比" dataDxfId="625"/>
    <tableColumn id="14" xr3:uid="{D8B7BE8A-A7D5-4F83-9F4C-FF99141E3067}" name="法人／事業所数" totalsRowFunction="sum" totalsRowDxfId="624" dataCellStyle="桁区切り" totalsRowCellStyle="桁区切り"/>
    <tableColumn id="15" xr3:uid="{A364FD68-1FD7-426B-AD2F-3EF3B306F3B7}" name="法人／構成比" dataDxfId="623"/>
    <tableColumn id="16" xr3:uid="{31359A4B-ABB3-429F-A658-EC54668CB1B6}" name="法人以外の団体／事業所数" totalsRowFunction="sum" totalsRowDxfId="622" dataCellStyle="桁区切り" totalsRowCellStyle="桁区切り"/>
  </tableColumns>
  <tableStyleInfo name="TableStyleMedium9" showFirstColumn="0" showLastColumn="0" showRowStripes="1" showColumnStripes="0"/>
</table>
</file>

<file path=xl/tables/table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3EF2AC1B-DE80-48B5-BA6D-A3BF43AF4105}" name="M_TABLE_27144" displayName="M_TABLE_27144" ref="B23:I43" totalsRowShown="0">
  <autoFilter ref="B23:I43" xr:uid="{3EF2AC1B-DE80-48B5-BA6D-A3BF43AF4105}"/>
  <tableColumns count="8">
    <tableColumn id="9" xr3:uid="{93328F96-739C-43B0-B6EB-94EC2DC49897}" name="産業中分類上位２０"/>
    <tableColumn id="10" xr3:uid="{48AEAF0D-4632-4E07-A98B-913951C46278}" name="総数／事業所数" dataCellStyle="桁区切り"/>
    <tableColumn id="11" xr3:uid="{58F60D9C-8A15-4BCE-9940-9B33172D0689}" name="総数／構成比" dataDxfId="621"/>
    <tableColumn id="12" xr3:uid="{C2943DAC-CCF9-4B08-AF16-47D243BCBA8B}" name="個人／事業所数" dataCellStyle="桁区切り"/>
    <tableColumn id="13" xr3:uid="{DA369A47-3D6C-433F-B79D-D3AB95A5A4D4}" name="個人／構成比" dataDxfId="620"/>
    <tableColumn id="14" xr3:uid="{3DFBC948-C12B-45FC-B4EE-2A7226F9734D}" name="法人／事業所数" dataCellStyle="桁区切り"/>
    <tableColumn id="15" xr3:uid="{3E1326E3-CDCC-46C6-8310-0FC5E5973EAC}" name="法人／構成比" dataDxfId="619"/>
    <tableColumn id="16" xr3:uid="{FBCCD540-C5AE-473B-9250-983A6A4EFAD9}" name="法人以外の団体／事業所数" dataCellStyle="桁区切り"/>
  </tableColumns>
  <tableStyleInfo name="TableStyleMedium9" showFirstColumn="0" showLastColumn="0" showRowStripes="1" showColumnStripes="0"/>
</table>
</file>

<file path=xl/tables/table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A5C4E4A7-DBB4-4C0E-8125-509B56AD92B3}" name="S_TABLE_27144" displayName="S_TABLE_27144" ref="B46:I67" totalsRowShown="0">
  <autoFilter ref="B46:I67" xr:uid="{A5C4E4A7-DBB4-4C0E-8125-509B56AD92B3}"/>
  <tableColumns count="8">
    <tableColumn id="9" xr3:uid="{AEE74A11-6788-4F76-A0D8-8F18B49784C5}" name="産業小分類上位２０"/>
    <tableColumn id="10" xr3:uid="{05F691DB-7CF8-4F0D-9068-3035E52E2893}" name="総数／事業所数" dataCellStyle="桁区切り"/>
    <tableColumn id="11" xr3:uid="{BC6CC3DC-7D4F-4017-B35D-2F81759FD26B}" name="総数／構成比" dataDxfId="618"/>
    <tableColumn id="12" xr3:uid="{F18FA3F4-C404-465F-8206-F712075FB3AB}" name="個人／事業所数" dataCellStyle="桁区切り"/>
    <tableColumn id="13" xr3:uid="{97F14DE6-45F7-47C2-8DE1-601FC0A69955}" name="個人／構成比" dataDxfId="617"/>
    <tableColumn id="14" xr3:uid="{B1F3E7CE-D84F-4735-B10A-E013E7E033FF}" name="法人／事業所数" dataCellStyle="桁区切り"/>
    <tableColumn id="15" xr3:uid="{E7A499F3-FA91-4836-AD8E-4CC143C7998E}" name="法人／構成比" dataDxfId="616"/>
    <tableColumn id="16" xr3:uid="{A699ACE6-09B9-4A01-9BC8-3D1EEF3146FA}" name="法人以外の団体／事業所数" dataCellStyle="桁区切り"/>
  </tableColumns>
  <tableStyleInfo name="TableStyleMedium9" showFirstColumn="0" showLastColumn="0" showRowStripes="1" showColumnStripes="0"/>
</table>
</file>

<file path=xl/tables/table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79D7E21C-F887-472D-84FA-CC62F7CF5ED2}" name="LTBL_27145" displayName="LTBL_27145" ref="B4:I20" totalsRowCount="1">
  <autoFilter ref="B4:I19" xr:uid="{79D7E21C-F887-472D-84FA-CC62F7CF5ED2}"/>
  <tableColumns count="8">
    <tableColumn id="9" xr3:uid="{85CAEB3F-6B27-41F8-A4EC-15914D348886}" name="産業大分類" totalsRowLabel="合計" totalsRowDxfId="615"/>
    <tableColumn id="10" xr3:uid="{BFE13EEE-6E34-45F0-B0EE-5081058C611A}" name="総数／事業所数" totalsRowFunction="custom" totalsRowDxfId="614" dataCellStyle="桁区切り" totalsRowCellStyle="桁区切り">
      <totalsRowFormula>SUM(LTBL_27145[総数／事業所数])</totalsRowFormula>
    </tableColumn>
    <tableColumn id="11" xr3:uid="{8AF3E665-1E94-4994-8065-D5217CAB138D}" name="総数／構成比" dataDxfId="613"/>
    <tableColumn id="12" xr3:uid="{3BD6952E-42CE-4170-B03F-C07C76BF6255}" name="個人／事業所数" totalsRowFunction="sum" totalsRowDxfId="612" dataCellStyle="桁区切り" totalsRowCellStyle="桁区切り"/>
    <tableColumn id="13" xr3:uid="{673E334F-9C9D-4063-BE97-ACF31559D7A5}" name="個人／構成比" dataDxfId="611"/>
    <tableColumn id="14" xr3:uid="{1BEC7268-B994-4F3B-AD4E-E6B704616E41}" name="法人／事業所数" totalsRowFunction="sum" totalsRowDxfId="610" dataCellStyle="桁区切り" totalsRowCellStyle="桁区切り"/>
    <tableColumn id="15" xr3:uid="{3A64C919-DA26-407A-8931-4A6648116123}" name="法人／構成比" dataDxfId="609"/>
    <tableColumn id="16" xr3:uid="{8AE51BB2-565B-4264-ABC3-FFC89B87B90E}" name="法人以外の団体／事業所数" totalsRowFunction="sum" totalsRowDxfId="608" dataCellStyle="桁区切り" totalsRowCellStyle="桁区切り"/>
  </tableColumns>
  <tableStyleInfo name="TableStyleMedium9" showFirstColumn="0" showLastColumn="0" showRowStripes="1" showColumnStripes="0"/>
</table>
</file>

<file path=xl/tables/table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CA3674F1-FACD-441D-B91E-917BF3E11835}" name="M_TABLE_27145" displayName="M_TABLE_27145" ref="B23:I44" totalsRowShown="0">
  <autoFilter ref="B23:I44" xr:uid="{CA3674F1-FACD-441D-B91E-917BF3E11835}"/>
  <tableColumns count="8">
    <tableColumn id="9" xr3:uid="{0AF710F8-40F8-4DF8-AB4C-325837EEE43D}" name="産業中分類上位２０"/>
    <tableColumn id="10" xr3:uid="{892638D3-45CA-4E49-8E46-AD09832F8251}" name="総数／事業所数" dataCellStyle="桁区切り"/>
    <tableColumn id="11" xr3:uid="{91C60DA5-B9D9-49B8-B350-03B2E36B1005}" name="総数／構成比" dataDxfId="607"/>
    <tableColumn id="12" xr3:uid="{102CF0C3-C138-4751-8291-ABCB9F83D12D}" name="個人／事業所数" dataCellStyle="桁区切り"/>
    <tableColumn id="13" xr3:uid="{8ADBB8AE-A09A-47C0-8E7A-542F7FFE744A}" name="個人／構成比" dataDxfId="606"/>
    <tableColumn id="14" xr3:uid="{C342E044-5FC0-4B03-8502-53501EDE58F7}" name="法人／事業所数" dataCellStyle="桁区切り"/>
    <tableColumn id="15" xr3:uid="{674BCEB8-9B08-491E-A57A-A183079269DC}" name="法人／構成比" dataDxfId="605"/>
    <tableColumn id="16" xr3:uid="{B8336E49-C04A-4F0E-9CD6-81F774CC4926}" name="法人以外の団体／事業所数" dataCellStyle="桁区切り"/>
  </tableColumns>
  <tableStyleInfo name="TableStyleMedium9" showFirstColumn="0" showLastColumn="0" showRowStripes="1" showColumnStripes="0"/>
</table>
</file>

<file path=xl/tables/table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AF450BDD-21E3-45B5-9813-AE220F1D1CDD}" name="S_TABLE_27145" displayName="S_TABLE_27145" ref="B47:I68" totalsRowShown="0">
  <autoFilter ref="B47:I68" xr:uid="{AF450BDD-21E3-45B5-9813-AE220F1D1CDD}"/>
  <tableColumns count="8">
    <tableColumn id="9" xr3:uid="{C508D34F-B506-49F5-AD39-E1600BF9D609}" name="産業小分類上位２０"/>
    <tableColumn id="10" xr3:uid="{81CB30FB-548A-472B-893E-6C9CC9AB0E42}" name="総数／事業所数" dataCellStyle="桁区切り"/>
    <tableColumn id="11" xr3:uid="{08BA6339-073A-437B-8B42-4C000D7D3601}" name="総数／構成比" dataDxfId="604"/>
    <tableColumn id="12" xr3:uid="{0C7AAEE0-BF6E-4702-8A37-388E15D43C93}" name="個人／事業所数" dataCellStyle="桁区切り"/>
    <tableColumn id="13" xr3:uid="{79A475D2-DB93-49C4-804F-9D7078C5EB54}" name="個人／構成比" dataDxfId="603"/>
    <tableColumn id="14" xr3:uid="{C975322D-2CDB-4E1E-AE90-12C7235A0C19}" name="法人／事業所数" dataCellStyle="桁区切り"/>
    <tableColumn id="15" xr3:uid="{8D51A900-3DEE-486B-B97C-94D7D5A9639D}" name="法人／構成比" dataDxfId="602"/>
    <tableColumn id="16" xr3:uid="{71E72401-5D95-4775-B5F0-4D42EABD82D2}" name="法人以外の団体／事業所数" dataCellStyle="桁区切り"/>
  </tableColumns>
  <tableStyleInfo name="TableStyleMedium9" showFirstColumn="0" showLastColumn="0" showRowStripes="1" showColumnStripes="0"/>
</table>
</file>

<file path=xl/tables/table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8F530FB3-E36C-431E-91A7-61DC9E60EE64}" name="LTBL_27146" displayName="LTBL_27146" ref="B4:I20" totalsRowCount="1">
  <autoFilter ref="B4:I19" xr:uid="{8F530FB3-E36C-431E-91A7-61DC9E60EE64}"/>
  <tableColumns count="8">
    <tableColumn id="9" xr3:uid="{8E3223BA-D3AE-4803-B2BF-FCE31B519781}" name="産業大分類" totalsRowLabel="合計" totalsRowDxfId="601"/>
    <tableColumn id="10" xr3:uid="{B6357629-4429-485B-B599-1F9FB29D7561}" name="総数／事業所数" totalsRowFunction="custom" totalsRowDxfId="600" dataCellStyle="桁区切り" totalsRowCellStyle="桁区切り">
      <totalsRowFormula>SUM(LTBL_27146[総数／事業所数])</totalsRowFormula>
    </tableColumn>
    <tableColumn id="11" xr3:uid="{9BE3AC2B-F98C-4C56-ABEB-F5D19A7AB5DC}" name="総数／構成比" dataDxfId="599"/>
    <tableColumn id="12" xr3:uid="{89C927CB-A8B8-42B8-B026-EABF854F0E15}" name="個人／事業所数" totalsRowFunction="sum" totalsRowDxfId="598" dataCellStyle="桁区切り" totalsRowCellStyle="桁区切り"/>
    <tableColumn id="13" xr3:uid="{C63D6E60-CE35-4ECC-A3E4-F95EE379B891}" name="個人／構成比" dataDxfId="597"/>
    <tableColumn id="14" xr3:uid="{6D460CCA-B3E8-432B-B16F-57E57A6E0481}" name="法人／事業所数" totalsRowFunction="sum" totalsRowDxfId="596" dataCellStyle="桁区切り" totalsRowCellStyle="桁区切り"/>
    <tableColumn id="15" xr3:uid="{F925DB55-3D53-4F4D-9A2A-DEEBE33E557B}" name="法人／構成比" dataDxfId="595"/>
    <tableColumn id="16" xr3:uid="{21EC7CCE-672C-4BB3-8462-6CB5E4CF0AB6}" name="法人以外の団体／事業所数" totalsRowFunction="sum" totalsRowDxfId="594" dataCellStyle="桁区切り" totalsRowCellStyle="桁区切り"/>
  </tableColumns>
  <tableStyleInfo name="TableStyleMedium9" showFirstColumn="0" showLastColumn="0" showRowStripes="1" showColumnStripes="0"/>
</table>
</file>

<file path=xl/tables/table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61BD67C7-95B5-4FB7-98B4-7AC52C130F92}" name="M_TABLE_27146" displayName="M_TABLE_27146" ref="B23:I43" totalsRowShown="0">
  <autoFilter ref="B23:I43" xr:uid="{61BD67C7-95B5-4FB7-98B4-7AC52C130F92}"/>
  <tableColumns count="8">
    <tableColumn id="9" xr3:uid="{145E902F-EEBB-4CFB-96F7-873301B53FBD}" name="産業中分類上位２０"/>
    <tableColumn id="10" xr3:uid="{89BF36E0-2F16-4340-A67F-70D020A5630B}" name="総数／事業所数" dataCellStyle="桁区切り"/>
    <tableColumn id="11" xr3:uid="{980CDF42-E8E6-4296-A905-937A2D38B2E2}" name="総数／構成比" dataDxfId="593"/>
    <tableColumn id="12" xr3:uid="{F50ABA6C-9973-47D7-B95F-975D5585F47A}" name="個人／事業所数" dataCellStyle="桁区切り"/>
    <tableColumn id="13" xr3:uid="{9798B908-E337-4665-B0D3-EDED23C9AC1B}" name="個人／構成比" dataDxfId="592"/>
    <tableColumn id="14" xr3:uid="{7BB40224-399C-48CD-B771-48FBC581B0C0}" name="法人／事業所数" dataCellStyle="桁区切り"/>
    <tableColumn id="15" xr3:uid="{2D455539-8C91-4938-A07F-8F68CEA03945}" name="法人／構成比" dataDxfId="591"/>
    <tableColumn id="16" xr3:uid="{987BADE3-B12D-4ACA-BD7C-65905BEED30A}" name="法人以外の団体／事業所数" dataCellStyle="桁区切り"/>
  </tableColumns>
  <tableStyleInfo name="TableStyleMedium9" showFirstColumn="0" showLastColumn="0" showRowStripes="1" showColumnStripes="0"/>
</table>
</file>

<file path=xl/tables/table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8EB41AC9-99E6-4373-99AF-B27856E4FF88}" name="S_TABLE_27146" displayName="S_TABLE_27146" ref="B46:I67" totalsRowShown="0">
  <autoFilter ref="B46:I67" xr:uid="{8EB41AC9-99E6-4373-99AF-B27856E4FF88}"/>
  <tableColumns count="8">
    <tableColumn id="9" xr3:uid="{80CE31D1-1EA7-4590-A97E-2DB192A7D9ED}" name="産業小分類上位２０"/>
    <tableColumn id="10" xr3:uid="{E7F7AB3E-7D38-4873-ACFB-FF491983F649}" name="総数／事業所数" dataCellStyle="桁区切り"/>
    <tableColumn id="11" xr3:uid="{F874A9A2-8F6B-4B17-9B4D-BE314140C5AF}" name="総数／構成比" dataDxfId="590"/>
    <tableColumn id="12" xr3:uid="{FD2AE150-0EF3-46F8-81FE-2CA495654EB0}" name="個人／事業所数" dataCellStyle="桁区切り"/>
    <tableColumn id="13" xr3:uid="{247BD584-2F39-4E8C-93AE-37868727A07C}" name="個人／構成比" dataDxfId="589"/>
    <tableColumn id="14" xr3:uid="{2DE4D562-B955-4865-8F0D-4AE01D99B4FD}" name="法人／事業所数" dataCellStyle="桁区切り"/>
    <tableColumn id="15" xr3:uid="{2FEF8A7D-92A9-4091-ACCC-6AFA894A63FF}" name="法人／構成比" dataDxfId="588"/>
    <tableColumn id="16" xr3:uid="{58D7AF8A-B483-4427-8986-60C8DD8D76CC}" name="法人以外の団体／事業所数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1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0.bin"/><Relationship Id="rId4" Type="http://schemas.openxmlformats.org/officeDocument/2006/relationships/table" Target="../tables/table2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11.bin"/><Relationship Id="rId4" Type="http://schemas.openxmlformats.org/officeDocument/2006/relationships/table" Target="../tables/table24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2.bin"/><Relationship Id="rId4" Type="http://schemas.openxmlformats.org/officeDocument/2006/relationships/table" Target="../tables/table2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3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3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5.xml"/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15.bin"/><Relationship Id="rId4" Type="http://schemas.openxmlformats.org/officeDocument/2006/relationships/table" Target="../tables/table3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6.bin"/><Relationship Id="rId4" Type="http://schemas.openxmlformats.org/officeDocument/2006/relationships/table" Target="../tables/table39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1.xml"/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17.bin"/><Relationship Id="rId4" Type="http://schemas.openxmlformats.org/officeDocument/2006/relationships/table" Target="../tables/table4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4.xml"/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18.bin"/><Relationship Id="rId4" Type="http://schemas.openxmlformats.org/officeDocument/2006/relationships/table" Target="../tables/table4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19.bin"/><Relationship Id="rId4" Type="http://schemas.openxmlformats.org/officeDocument/2006/relationships/table" Target="../tables/table4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20.bin"/><Relationship Id="rId4" Type="http://schemas.openxmlformats.org/officeDocument/2006/relationships/table" Target="../tables/table5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3.xml"/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21.bin"/><Relationship Id="rId4" Type="http://schemas.openxmlformats.org/officeDocument/2006/relationships/table" Target="../tables/table54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6.xml"/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22.bin"/><Relationship Id="rId4" Type="http://schemas.openxmlformats.org/officeDocument/2006/relationships/table" Target="../tables/table57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9.xml"/><Relationship Id="rId2" Type="http://schemas.openxmlformats.org/officeDocument/2006/relationships/table" Target="../tables/table58.xml"/><Relationship Id="rId1" Type="http://schemas.openxmlformats.org/officeDocument/2006/relationships/printerSettings" Target="../printerSettings/printerSettings23.bin"/><Relationship Id="rId4" Type="http://schemas.openxmlformats.org/officeDocument/2006/relationships/table" Target="../tables/table60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24.bin"/><Relationship Id="rId4" Type="http://schemas.openxmlformats.org/officeDocument/2006/relationships/table" Target="../tables/table6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5.xml"/><Relationship Id="rId2" Type="http://schemas.openxmlformats.org/officeDocument/2006/relationships/table" Target="../tables/table64.xml"/><Relationship Id="rId1" Type="http://schemas.openxmlformats.org/officeDocument/2006/relationships/printerSettings" Target="../printerSettings/printerSettings25.bin"/><Relationship Id="rId4" Type="http://schemas.openxmlformats.org/officeDocument/2006/relationships/table" Target="../tables/table66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8.xml"/><Relationship Id="rId2" Type="http://schemas.openxmlformats.org/officeDocument/2006/relationships/table" Target="../tables/table67.xml"/><Relationship Id="rId1" Type="http://schemas.openxmlformats.org/officeDocument/2006/relationships/printerSettings" Target="../printerSettings/printerSettings26.bin"/><Relationship Id="rId4" Type="http://schemas.openxmlformats.org/officeDocument/2006/relationships/table" Target="../tables/table69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1.xml"/><Relationship Id="rId2" Type="http://schemas.openxmlformats.org/officeDocument/2006/relationships/table" Target="../tables/table70.xml"/><Relationship Id="rId1" Type="http://schemas.openxmlformats.org/officeDocument/2006/relationships/printerSettings" Target="../printerSettings/printerSettings27.bin"/><Relationship Id="rId4" Type="http://schemas.openxmlformats.org/officeDocument/2006/relationships/table" Target="../tables/table72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4.xml"/><Relationship Id="rId2" Type="http://schemas.openxmlformats.org/officeDocument/2006/relationships/table" Target="../tables/table73.xml"/><Relationship Id="rId1" Type="http://schemas.openxmlformats.org/officeDocument/2006/relationships/printerSettings" Target="../printerSettings/printerSettings28.bin"/><Relationship Id="rId4" Type="http://schemas.openxmlformats.org/officeDocument/2006/relationships/table" Target="../tables/table7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7.xml"/><Relationship Id="rId2" Type="http://schemas.openxmlformats.org/officeDocument/2006/relationships/table" Target="../tables/table76.xml"/><Relationship Id="rId1" Type="http://schemas.openxmlformats.org/officeDocument/2006/relationships/printerSettings" Target="../printerSettings/printerSettings29.bin"/><Relationship Id="rId4" Type="http://schemas.openxmlformats.org/officeDocument/2006/relationships/table" Target="../tables/table78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0.xml"/><Relationship Id="rId2" Type="http://schemas.openxmlformats.org/officeDocument/2006/relationships/table" Target="../tables/table79.xml"/><Relationship Id="rId1" Type="http://schemas.openxmlformats.org/officeDocument/2006/relationships/printerSettings" Target="../printerSettings/printerSettings30.bin"/><Relationship Id="rId4" Type="http://schemas.openxmlformats.org/officeDocument/2006/relationships/table" Target="../tables/table81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3.xml"/><Relationship Id="rId2" Type="http://schemas.openxmlformats.org/officeDocument/2006/relationships/table" Target="../tables/table82.xml"/><Relationship Id="rId1" Type="http://schemas.openxmlformats.org/officeDocument/2006/relationships/printerSettings" Target="../printerSettings/printerSettings31.bin"/><Relationship Id="rId4" Type="http://schemas.openxmlformats.org/officeDocument/2006/relationships/table" Target="../tables/table84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6.xml"/><Relationship Id="rId2" Type="http://schemas.openxmlformats.org/officeDocument/2006/relationships/table" Target="../tables/table85.xml"/><Relationship Id="rId1" Type="http://schemas.openxmlformats.org/officeDocument/2006/relationships/printerSettings" Target="../printerSettings/printerSettings32.bin"/><Relationship Id="rId4" Type="http://schemas.openxmlformats.org/officeDocument/2006/relationships/table" Target="../tables/table87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9.xml"/><Relationship Id="rId2" Type="http://schemas.openxmlformats.org/officeDocument/2006/relationships/table" Target="../tables/table88.xml"/><Relationship Id="rId1" Type="http://schemas.openxmlformats.org/officeDocument/2006/relationships/printerSettings" Target="../printerSettings/printerSettings33.bin"/><Relationship Id="rId4" Type="http://schemas.openxmlformats.org/officeDocument/2006/relationships/table" Target="../tables/table90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2.xml"/><Relationship Id="rId2" Type="http://schemas.openxmlformats.org/officeDocument/2006/relationships/table" Target="../tables/table91.xml"/><Relationship Id="rId1" Type="http://schemas.openxmlformats.org/officeDocument/2006/relationships/printerSettings" Target="../printerSettings/printerSettings34.bin"/><Relationship Id="rId4" Type="http://schemas.openxmlformats.org/officeDocument/2006/relationships/table" Target="../tables/table93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5.xml"/><Relationship Id="rId2" Type="http://schemas.openxmlformats.org/officeDocument/2006/relationships/table" Target="../tables/table94.xml"/><Relationship Id="rId1" Type="http://schemas.openxmlformats.org/officeDocument/2006/relationships/printerSettings" Target="../printerSettings/printerSettings35.bin"/><Relationship Id="rId4" Type="http://schemas.openxmlformats.org/officeDocument/2006/relationships/table" Target="../tables/table96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8.xml"/><Relationship Id="rId2" Type="http://schemas.openxmlformats.org/officeDocument/2006/relationships/table" Target="../tables/table97.xml"/><Relationship Id="rId1" Type="http://schemas.openxmlformats.org/officeDocument/2006/relationships/printerSettings" Target="../printerSettings/printerSettings36.bin"/><Relationship Id="rId4" Type="http://schemas.openxmlformats.org/officeDocument/2006/relationships/table" Target="../tables/table99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1.xml"/><Relationship Id="rId2" Type="http://schemas.openxmlformats.org/officeDocument/2006/relationships/table" Target="../tables/table100.xml"/><Relationship Id="rId1" Type="http://schemas.openxmlformats.org/officeDocument/2006/relationships/printerSettings" Target="../printerSettings/printerSettings37.bin"/><Relationship Id="rId4" Type="http://schemas.openxmlformats.org/officeDocument/2006/relationships/table" Target="../tables/table102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4.xml"/><Relationship Id="rId2" Type="http://schemas.openxmlformats.org/officeDocument/2006/relationships/table" Target="../tables/table103.xml"/><Relationship Id="rId1" Type="http://schemas.openxmlformats.org/officeDocument/2006/relationships/printerSettings" Target="../printerSettings/printerSettings38.bin"/><Relationship Id="rId4" Type="http://schemas.openxmlformats.org/officeDocument/2006/relationships/table" Target="../tables/table10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7.xml"/><Relationship Id="rId2" Type="http://schemas.openxmlformats.org/officeDocument/2006/relationships/table" Target="../tables/table106.xml"/><Relationship Id="rId1" Type="http://schemas.openxmlformats.org/officeDocument/2006/relationships/printerSettings" Target="../printerSettings/printerSettings39.bin"/><Relationship Id="rId4" Type="http://schemas.openxmlformats.org/officeDocument/2006/relationships/table" Target="../tables/table108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0.xml"/><Relationship Id="rId2" Type="http://schemas.openxmlformats.org/officeDocument/2006/relationships/table" Target="../tables/table109.xml"/><Relationship Id="rId1" Type="http://schemas.openxmlformats.org/officeDocument/2006/relationships/printerSettings" Target="../printerSettings/printerSettings40.bin"/><Relationship Id="rId4" Type="http://schemas.openxmlformats.org/officeDocument/2006/relationships/table" Target="../tables/table111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3.xml"/><Relationship Id="rId2" Type="http://schemas.openxmlformats.org/officeDocument/2006/relationships/table" Target="../tables/table112.xml"/><Relationship Id="rId1" Type="http://schemas.openxmlformats.org/officeDocument/2006/relationships/printerSettings" Target="../printerSettings/printerSettings41.bin"/><Relationship Id="rId4" Type="http://schemas.openxmlformats.org/officeDocument/2006/relationships/table" Target="../tables/table114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6.xml"/><Relationship Id="rId2" Type="http://schemas.openxmlformats.org/officeDocument/2006/relationships/table" Target="../tables/table115.xml"/><Relationship Id="rId1" Type="http://schemas.openxmlformats.org/officeDocument/2006/relationships/printerSettings" Target="../printerSettings/printerSettings42.bin"/><Relationship Id="rId4" Type="http://schemas.openxmlformats.org/officeDocument/2006/relationships/table" Target="../tables/table117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9.xml"/><Relationship Id="rId2" Type="http://schemas.openxmlformats.org/officeDocument/2006/relationships/table" Target="../tables/table118.xml"/><Relationship Id="rId1" Type="http://schemas.openxmlformats.org/officeDocument/2006/relationships/printerSettings" Target="../printerSettings/printerSettings43.bin"/><Relationship Id="rId4" Type="http://schemas.openxmlformats.org/officeDocument/2006/relationships/table" Target="../tables/table120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2.xml"/><Relationship Id="rId2" Type="http://schemas.openxmlformats.org/officeDocument/2006/relationships/table" Target="../tables/table121.xml"/><Relationship Id="rId1" Type="http://schemas.openxmlformats.org/officeDocument/2006/relationships/printerSettings" Target="../printerSettings/printerSettings44.bin"/><Relationship Id="rId4" Type="http://schemas.openxmlformats.org/officeDocument/2006/relationships/table" Target="../tables/table123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5.xml"/><Relationship Id="rId2" Type="http://schemas.openxmlformats.org/officeDocument/2006/relationships/table" Target="../tables/table124.xml"/><Relationship Id="rId1" Type="http://schemas.openxmlformats.org/officeDocument/2006/relationships/printerSettings" Target="../printerSettings/printerSettings45.bin"/><Relationship Id="rId4" Type="http://schemas.openxmlformats.org/officeDocument/2006/relationships/table" Target="../tables/table126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8.xml"/><Relationship Id="rId2" Type="http://schemas.openxmlformats.org/officeDocument/2006/relationships/table" Target="../tables/table127.xml"/><Relationship Id="rId1" Type="http://schemas.openxmlformats.org/officeDocument/2006/relationships/printerSettings" Target="../printerSettings/printerSettings46.bin"/><Relationship Id="rId4" Type="http://schemas.openxmlformats.org/officeDocument/2006/relationships/table" Target="../tables/table129.xm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1.xml"/><Relationship Id="rId2" Type="http://schemas.openxmlformats.org/officeDocument/2006/relationships/table" Target="../tables/table130.xml"/><Relationship Id="rId1" Type="http://schemas.openxmlformats.org/officeDocument/2006/relationships/printerSettings" Target="../printerSettings/printerSettings47.bin"/><Relationship Id="rId4" Type="http://schemas.openxmlformats.org/officeDocument/2006/relationships/table" Target="../tables/table132.xml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4.xml"/><Relationship Id="rId2" Type="http://schemas.openxmlformats.org/officeDocument/2006/relationships/table" Target="../tables/table133.xml"/><Relationship Id="rId1" Type="http://schemas.openxmlformats.org/officeDocument/2006/relationships/printerSettings" Target="../printerSettings/printerSettings48.bin"/><Relationship Id="rId4" Type="http://schemas.openxmlformats.org/officeDocument/2006/relationships/table" Target="../tables/table13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3.xml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7.xml"/><Relationship Id="rId2" Type="http://schemas.openxmlformats.org/officeDocument/2006/relationships/table" Target="../tables/table136.xml"/><Relationship Id="rId1" Type="http://schemas.openxmlformats.org/officeDocument/2006/relationships/printerSettings" Target="../printerSettings/printerSettings49.bin"/><Relationship Id="rId4" Type="http://schemas.openxmlformats.org/officeDocument/2006/relationships/table" Target="../tables/table138.xml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0.xml"/><Relationship Id="rId2" Type="http://schemas.openxmlformats.org/officeDocument/2006/relationships/table" Target="../tables/table139.xml"/><Relationship Id="rId1" Type="http://schemas.openxmlformats.org/officeDocument/2006/relationships/printerSettings" Target="../printerSettings/printerSettings50.bin"/><Relationship Id="rId4" Type="http://schemas.openxmlformats.org/officeDocument/2006/relationships/table" Target="../tables/table141.xm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3.xml"/><Relationship Id="rId2" Type="http://schemas.openxmlformats.org/officeDocument/2006/relationships/table" Target="../tables/table142.xml"/><Relationship Id="rId1" Type="http://schemas.openxmlformats.org/officeDocument/2006/relationships/printerSettings" Target="../printerSettings/printerSettings51.bin"/><Relationship Id="rId4" Type="http://schemas.openxmlformats.org/officeDocument/2006/relationships/table" Target="../tables/table144.xml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6.xml"/><Relationship Id="rId2" Type="http://schemas.openxmlformats.org/officeDocument/2006/relationships/table" Target="../tables/table145.xml"/><Relationship Id="rId1" Type="http://schemas.openxmlformats.org/officeDocument/2006/relationships/printerSettings" Target="../printerSettings/printerSettings52.bin"/><Relationship Id="rId4" Type="http://schemas.openxmlformats.org/officeDocument/2006/relationships/table" Target="../tables/table147.xml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9.xml"/><Relationship Id="rId2" Type="http://schemas.openxmlformats.org/officeDocument/2006/relationships/table" Target="../tables/table148.xml"/><Relationship Id="rId1" Type="http://schemas.openxmlformats.org/officeDocument/2006/relationships/printerSettings" Target="../printerSettings/printerSettings53.bin"/><Relationship Id="rId4" Type="http://schemas.openxmlformats.org/officeDocument/2006/relationships/table" Target="../tables/table150.xml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2.xml"/><Relationship Id="rId2" Type="http://schemas.openxmlformats.org/officeDocument/2006/relationships/table" Target="../tables/table151.xml"/><Relationship Id="rId1" Type="http://schemas.openxmlformats.org/officeDocument/2006/relationships/printerSettings" Target="../printerSettings/printerSettings54.bin"/><Relationship Id="rId4" Type="http://schemas.openxmlformats.org/officeDocument/2006/relationships/table" Target="../tables/table153.xml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5.xml"/><Relationship Id="rId2" Type="http://schemas.openxmlformats.org/officeDocument/2006/relationships/table" Target="../tables/table154.xml"/><Relationship Id="rId1" Type="http://schemas.openxmlformats.org/officeDocument/2006/relationships/printerSettings" Target="../printerSettings/printerSettings55.bin"/><Relationship Id="rId4" Type="http://schemas.openxmlformats.org/officeDocument/2006/relationships/table" Target="../tables/table156.xml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8.xml"/><Relationship Id="rId2" Type="http://schemas.openxmlformats.org/officeDocument/2006/relationships/table" Target="../tables/table157.xml"/><Relationship Id="rId1" Type="http://schemas.openxmlformats.org/officeDocument/2006/relationships/printerSettings" Target="../printerSettings/printerSettings56.bin"/><Relationship Id="rId4" Type="http://schemas.openxmlformats.org/officeDocument/2006/relationships/table" Target="../tables/table159.xml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1.xml"/><Relationship Id="rId2" Type="http://schemas.openxmlformats.org/officeDocument/2006/relationships/table" Target="../tables/table160.xml"/><Relationship Id="rId1" Type="http://schemas.openxmlformats.org/officeDocument/2006/relationships/printerSettings" Target="../printerSettings/printerSettings57.bin"/><Relationship Id="rId4" Type="http://schemas.openxmlformats.org/officeDocument/2006/relationships/table" Target="../tables/table162.xml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4.xml"/><Relationship Id="rId2" Type="http://schemas.openxmlformats.org/officeDocument/2006/relationships/table" Target="../tables/table163.xml"/><Relationship Id="rId1" Type="http://schemas.openxmlformats.org/officeDocument/2006/relationships/printerSettings" Target="../printerSettings/printerSettings58.bin"/><Relationship Id="rId4" Type="http://schemas.openxmlformats.org/officeDocument/2006/relationships/table" Target="../tables/table16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6.xml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7.xml"/><Relationship Id="rId2" Type="http://schemas.openxmlformats.org/officeDocument/2006/relationships/table" Target="../tables/table166.xml"/><Relationship Id="rId1" Type="http://schemas.openxmlformats.org/officeDocument/2006/relationships/printerSettings" Target="../printerSettings/printerSettings59.bin"/><Relationship Id="rId4" Type="http://schemas.openxmlformats.org/officeDocument/2006/relationships/table" Target="../tables/table168.xml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0.xml"/><Relationship Id="rId2" Type="http://schemas.openxmlformats.org/officeDocument/2006/relationships/table" Target="../tables/table169.xml"/><Relationship Id="rId1" Type="http://schemas.openxmlformats.org/officeDocument/2006/relationships/printerSettings" Target="../printerSettings/printerSettings60.bin"/><Relationship Id="rId4" Type="http://schemas.openxmlformats.org/officeDocument/2006/relationships/table" Target="../tables/table171.xml"/></Relationships>
</file>

<file path=xl/worksheets/_rels/sheet6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3.xml"/><Relationship Id="rId2" Type="http://schemas.openxmlformats.org/officeDocument/2006/relationships/table" Target="../tables/table172.xml"/><Relationship Id="rId1" Type="http://schemas.openxmlformats.org/officeDocument/2006/relationships/printerSettings" Target="../printerSettings/printerSettings61.bin"/><Relationship Id="rId4" Type="http://schemas.openxmlformats.org/officeDocument/2006/relationships/table" Target="../tables/table174.xml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6.xml"/><Relationship Id="rId2" Type="http://schemas.openxmlformats.org/officeDocument/2006/relationships/table" Target="../tables/table175.xml"/><Relationship Id="rId1" Type="http://schemas.openxmlformats.org/officeDocument/2006/relationships/printerSettings" Target="../printerSettings/printerSettings62.bin"/><Relationship Id="rId4" Type="http://schemas.openxmlformats.org/officeDocument/2006/relationships/table" Target="../tables/table177.xml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9.xml"/><Relationship Id="rId2" Type="http://schemas.openxmlformats.org/officeDocument/2006/relationships/table" Target="../tables/table178.xml"/><Relationship Id="rId1" Type="http://schemas.openxmlformats.org/officeDocument/2006/relationships/printerSettings" Target="../printerSettings/printerSettings63.bin"/><Relationship Id="rId4" Type="http://schemas.openxmlformats.org/officeDocument/2006/relationships/table" Target="../tables/table180.xml"/></Relationships>
</file>

<file path=xl/worksheets/_rels/sheet6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2.xml"/><Relationship Id="rId2" Type="http://schemas.openxmlformats.org/officeDocument/2006/relationships/table" Target="../tables/table181.xml"/><Relationship Id="rId1" Type="http://schemas.openxmlformats.org/officeDocument/2006/relationships/printerSettings" Target="../printerSettings/printerSettings64.bin"/><Relationship Id="rId4" Type="http://schemas.openxmlformats.org/officeDocument/2006/relationships/table" Target="../tables/table183.xml"/></Relationships>
</file>

<file path=xl/worksheets/_rels/sheet6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5.xml"/><Relationship Id="rId2" Type="http://schemas.openxmlformats.org/officeDocument/2006/relationships/table" Target="../tables/table184.xml"/><Relationship Id="rId1" Type="http://schemas.openxmlformats.org/officeDocument/2006/relationships/printerSettings" Target="../printerSettings/printerSettings65.bin"/><Relationship Id="rId4" Type="http://schemas.openxmlformats.org/officeDocument/2006/relationships/table" Target="../tables/table186.xml"/></Relationships>
</file>

<file path=xl/worksheets/_rels/sheet6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8.xml"/><Relationship Id="rId2" Type="http://schemas.openxmlformats.org/officeDocument/2006/relationships/table" Target="../tables/table187.xml"/><Relationship Id="rId1" Type="http://schemas.openxmlformats.org/officeDocument/2006/relationships/printerSettings" Target="../printerSettings/printerSettings66.bin"/><Relationship Id="rId4" Type="http://schemas.openxmlformats.org/officeDocument/2006/relationships/table" Target="../tables/table189.xml"/></Relationships>
</file>

<file path=xl/worksheets/_rels/sheet6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1.xml"/><Relationship Id="rId2" Type="http://schemas.openxmlformats.org/officeDocument/2006/relationships/table" Target="../tables/table190.xml"/><Relationship Id="rId1" Type="http://schemas.openxmlformats.org/officeDocument/2006/relationships/printerSettings" Target="../printerSettings/printerSettings67.bin"/><Relationship Id="rId4" Type="http://schemas.openxmlformats.org/officeDocument/2006/relationships/table" Target="../tables/table192.xml"/></Relationships>
</file>

<file path=xl/worksheets/_rels/sheet6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4.xml"/><Relationship Id="rId2" Type="http://schemas.openxmlformats.org/officeDocument/2006/relationships/table" Target="../tables/table193.xml"/><Relationship Id="rId1" Type="http://schemas.openxmlformats.org/officeDocument/2006/relationships/printerSettings" Target="../printerSettings/printerSettings68.bin"/><Relationship Id="rId4" Type="http://schemas.openxmlformats.org/officeDocument/2006/relationships/table" Target="../tables/table19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9.xml"/></Relationships>
</file>

<file path=xl/worksheets/_rels/sheet7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7.xml"/><Relationship Id="rId2" Type="http://schemas.openxmlformats.org/officeDocument/2006/relationships/table" Target="../tables/table196.xml"/><Relationship Id="rId1" Type="http://schemas.openxmlformats.org/officeDocument/2006/relationships/printerSettings" Target="../printerSettings/printerSettings69.bin"/><Relationship Id="rId4" Type="http://schemas.openxmlformats.org/officeDocument/2006/relationships/table" Target="../tables/table198.xml"/></Relationships>
</file>

<file path=xl/worksheets/_rels/sheet7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0.xml"/><Relationship Id="rId2" Type="http://schemas.openxmlformats.org/officeDocument/2006/relationships/table" Target="../tables/table199.xml"/><Relationship Id="rId1" Type="http://schemas.openxmlformats.org/officeDocument/2006/relationships/printerSettings" Target="../printerSettings/printerSettings70.bin"/><Relationship Id="rId4" Type="http://schemas.openxmlformats.org/officeDocument/2006/relationships/table" Target="../tables/table201.xml"/></Relationships>
</file>

<file path=xl/worksheets/_rels/sheet7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3.xml"/><Relationship Id="rId2" Type="http://schemas.openxmlformats.org/officeDocument/2006/relationships/table" Target="../tables/table202.xml"/><Relationship Id="rId1" Type="http://schemas.openxmlformats.org/officeDocument/2006/relationships/printerSettings" Target="../printerSettings/printerSettings71.bin"/><Relationship Id="rId4" Type="http://schemas.openxmlformats.org/officeDocument/2006/relationships/table" Target="../tables/table204.xml"/></Relationships>
</file>

<file path=xl/worksheets/_rels/sheet7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6.xml"/><Relationship Id="rId2" Type="http://schemas.openxmlformats.org/officeDocument/2006/relationships/table" Target="../tables/table205.xml"/><Relationship Id="rId1" Type="http://schemas.openxmlformats.org/officeDocument/2006/relationships/printerSettings" Target="../printerSettings/printerSettings72.bin"/><Relationship Id="rId4" Type="http://schemas.openxmlformats.org/officeDocument/2006/relationships/table" Target="../tables/table207.xml"/></Relationships>
</file>

<file path=xl/worksheets/_rels/sheet7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9.xml"/><Relationship Id="rId2" Type="http://schemas.openxmlformats.org/officeDocument/2006/relationships/table" Target="../tables/table208.xml"/><Relationship Id="rId1" Type="http://schemas.openxmlformats.org/officeDocument/2006/relationships/printerSettings" Target="../printerSettings/printerSettings73.bin"/><Relationship Id="rId4" Type="http://schemas.openxmlformats.org/officeDocument/2006/relationships/table" Target="../tables/table210.xml"/></Relationships>
</file>

<file path=xl/worksheets/_rels/sheet7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2.xml"/><Relationship Id="rId2" Type="http://schemas.openxmlformats.org/officeDocument/2006/relationships/table" Target="../tables/table211.xml"/><Relationship Id="rId1" Type="http://schemas.openxmlformats.org/officeDocument/2006/relationships/printerSettings" Target="../printerSettings/printerSettings74.bin"/><Relationship Id="rId4" Type="http://schemas.openxmlformats.org/officeDocument/2006/relationships/table" Target="../tables/table213.xml"/></Relationships>
</file>

<file path=xl/worksheets/_rels/sheet7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5.xml"/><Relationship Id="rId2" Type="http://schemas.openxmlformats.org/officeDocument/2006/relationships/table" Target="../tables/table214.xml"/><Relationship Id="rId1" Type="http://schemas.openxmlformats.org/officeDocument/2006/relationships/printerSettings" Target="../printerSettings/printerSettings75.bin"/><Relationship Id="rId4" Type="http://schemas.openxmlformats.org/officeDocument/2006/relationships/table" Target="../tables/table216.xml"/></Relationships>
</file>

<file path=xl/worksheets/_rels/sheet7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8.xml"/><Relationship Id="rId2" Type="http://schemas.openxmlformats.org/officeDocument/2006/relationships/table" Target="../tables/table217.xml"/><Relationship Id="rId1" Type="http://schemas.openxmlformats.org/officeDocument/2006/relationships/printerSettings" Target="../printerSettings/printerSettings76.bin"/><Relationship Id="rId4" Type="http://schemas.openxmlformats.org/officeDocument/2006/relationships/table" Target="../tables/table219.xml"/></Relationships>
</file>

<file path=xl/worksheets/_rels/sheet7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1.xml"/><Relationship Id="rId2" Type="http://schemas.openxmlformats.org/officeDocument/2006/relationships/table" Target="../tables/table220.xml"/><Relationship Id="rId1" Type="http://schemas.openxmlformats.org/officeDocument/2006/relationships/printerSettings" Target="../printerSettings/printerSettings77.bin"/><Relationship Id="rId4" Type="http://schemas.openxmlformats.org/officeDocument/2006/relationships/table" Target="../tables/table222.xml"/></Relationships>
</file>

<file path=xl/worksheets/_rels/sheet7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4.xml"/><Relationship Id="rId2" Type="http://schemas.openxmlformats.org/officeDocument/2006/relationships/table" Target="../tables/table223.xml"/><Relationship Id="rId1" Type="http://schemas.openxmlformats.org/officeDocument/2006/relationships/printerSettings" Target="../printerSettings/printerSettings78.bin"/><Relationship Id="rId4" Type="http://schemas.openxmlformats.org/officeDocument/2006/relationships/table" Target="../tables/table22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1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476C1-37ED-4573-9787-60BCBD464322}">
  <dimension ref="A1:B79"/>
  <sheetViews>
    <sheetView tabSelected="1" workbookViewId="0"/>
  </sheetViews>
  <sheetFormatPr defaultRowHeight="13.2" x14ac:dyDescent="0.2"/>
  <sheetData>
    <row r="1" spans="1:2" x14ac:dyDescent="0.2">
      <c r="A1" t="s">
        <v>424</v>
      </c>
    </row>
    <row r="2" spans="1:2" x14ac:dyDescent="0.2">
      <c r="B2" s="13" t="s">
        <v>270</v>
      </c>
    </row>
    <row r="3" spans="1:2" x14ac:dyDescent="0.2">
      <c r="B3" s="13" t="s">
        <v>151</v>
      </c>
    </row>
    <row r="4" spans="1:2" x14ac:dyDescent="0.2">
      <c r="B4" s="13" t="s">
        <v>268</v>
      </c>
    </row>
    <row r="5" spans="1:2" x14ac:dyDescent="0.2">
      <c r="B5" s="13" t="s">
        <v>349</v>
      </c>
    </row>
    <row r="6" spans="1:2" x14ac:dyDescent="0.2">
      <c r="B6" s="13" t="s">
        <v>350</v>
      </c>
    </row>
    <row r="7" spans="1:2" x14ac:dyDescent="0.2">
      <c r="B7" s="13" t="s">
        <v>351</v>
      </c>
    </row>
    <row r="8" spans="1:2" x14ac:dyDescent="0.2">
      <c r="B8" s="13" t="s">
        <v>352</v>
      </c>
    </row>
    <row r="9" spans="1:2" x14ac:dyDescent="0.2">
      <c r="B9" s="13" t="s">
        <v>353</v>
      </c>
    </row>
    <row r="10" spans="1:2" x14ac:dyDescent="0.2">
      <c r="B10" s="13" t="s">
        <v>354</v>
      </c>
    </row>
    <row r="11" spans="1:2" x14ac:dyDescent="0.2">
      <c r="B11" s="13" t="s">
        <v>355</v>
      </c>
    </row>
    <row r="12" spans="1:2" x14ac:dyDescent="0.2">
      <c r="B12" s="13" t="s">
        <v>356</v>
      </c>
    </row>
    <row r="13" spans="1:2" x14ac:dyDescent="0.2">
      <c r="B13" s="13" t="s">
        <v>357</v>
      </c>
    </row>
    <row r="14" spans="1:2" x14ac:dyDescent="0.2">
      <c r="B14" s="13" t="s">
        <v>358</v>
      </c>
    </row>
    <row r="15" spans="1:2" x14ac:dyDescent="0.2">
      <c r="B15" s="13" t="s">
        <v>359</v>
      </c>
    </row>
    <row r="16" spans="1:2" x14ac:dyDescent="0.2">
      <c r="B16" s="13" t="s">
        <v>360</v>
      </c>
    </row>
    <row r="17" spans="2:2" x14ac:dyDescent="0.2">
      <c r="B17" s="13" t="s">
        <v>361</v>
      </c>
    </row>
    <row r="18" spans="2:2" x14ac:dyDescent="0.2">
      <c r="B18" s="13" t="s">
        <v>362</v>
      </c>
    </row>
    <row r="19" spans="2:2" x14ac:dyDescent="0.2">
      <c r="B19" s="13" t="s">
        <v>363</v>
      </c>
    </row>
    <row r="20" spans="2:2" x14ac:dyDescent="0.2">
      <c r="B20" s="13" t="s">
        <v>364</v>
      </c>
    </row>
    <row r="21" spans="2:2" x14ac:dyDescent="0.2">
      <c r="B21" s="13" t="s">
        <v>365</v>
      </c>
    </row>
    <row r="22" spans="2:2" x14ac:dyDescent="0.2">
      <c r="B22" s="13" t="s">
        <v>366</v>
      </c>
    </row>
    <row r="23" spans="2:2" x14ac:dyDescent="0.2">
      <c r="B23" s="13" t="s">
        <v>367</v>
      </c>
    </row>
    <row r="24" spans="2:2" x14ac:dyDescent="0.2">
      <c r="B24" s="13" t="s">
        <v>368</v>
      </c>
    </row>
    <row r="25" spans="2:2" x14ac:dyDescent="0.2">
      <c r="B25" s="13" t="s">
        <v>369</v>
      </c>
    </row>
    <row r="26" spans="2:2" x14ac:dyDescent="0.2">
      <c r="B26" s="13" t="s">
        <v>370</v>
      </c>
    </row>
    <row r="27" spans="2:2" x14ac:dyDescent="0.2">
      <c r="B27" s="13" t="s">
        <v>371</v>
      </c>
    </row>
    <row r="28" spans="2:2" x14ac:dyDescent="0.2">
      <c r="B28" s="13" t="s">
        <v>372</v>
      </c>
    </row>
    <row r="29" spans="2:2" x14ac:dyDescent="0.2">
      <c r="B29" s="13" t="s">
        <v>373</v>
      </c>
    </row>
    <row r="30" spans="2:2" x14ac:dyDescent="0.2">
      <c r="B30" s="13" t="s">
        <v>374</v>
      </c>
    </row>
    <row r="31" spans="2:2" x14ac:dyDescent="0.2">
      <c r="B31" s="13" t="s">
        <v>375</v>
      </c>
    </row>
    <row r="32" spans="2:2" x14ac:dyDescent="0.2">
      <c r="B32" s="13" t="s">
        <v>376</v>
      </c>
    </row>
    <row r="33" spans="2:2" x14ac:dyDescent="0.2">
      <c r="B33" s="13" t="s">
        <v>377</v>
      </c>
    </row>
    <row r="34" spans="2:2" x14ac:dyDescent="0.2">
      <c r="B34" s="13" t="s">
        <v>378</v>
      </c>
    </row>
    <row r="35" spans="2:2" x14ac:dyDescent="0.2">
      <c r="B35" s="13" t="s">
        <v>379</v>
      </c>
    </row>
    <row r="36" spans="2:2" x14ac:dyDescent="0.2">
      <c r="B36" s="13" t="s">
        <v>380</v>
      </c>
    </row>
    <row r="37" spans="2:2" x14ac:dyDescent="0.2">
      <c r="B37" s="13" t="s">
        <v>381</v>
      </c>
    </row>
    <row r="38" spans="2:2" x14ac:dyDescent="0.2">
      <c r="B38" s="13" t="s">
        <v>382</v>
      </c>
    </row>
    <row r="39" spans="2:2" x14ac:dyDescent="0.2">
      <c r="B39" s="13" t="s">
        <v>383</v>
      </c>
    </row>
    <row r="40" spans="2:2" x14ac:dyDescent="0.2">
      <c r="B40" s="13" t="s">
        <v>384</v>
      </c>
    </row>
    <row r="41" spans="2:2" x14ac:dyDescent="0.2">
      <c r="B41" s="13" t="s">
        <v>385</v>
      </c>
    </row>
    <row r="42" spans="2:2" x14ac:dyDescent="0.2">
      <c r="B42" s="13" t="s">
        <v>386</v>
      </c>
    </row>
    <row r="43" spans="2:2" x14ac:dyDescent="0.2">
      <c r="B43" s="13" t="s">
        <v>387</v>
      </c>
    </row>
    <row r="44" spans="2:2" x14ac:dyDescent="0.2">
      <c r="B44" s="13" t="s">
        <v>388</v>
      </c>
    </row>
    <row r="45" spans="2:2" x14ac:dyDescent="0.2">
      <c r="B45" s="13" t="s">
        <v>389</v>
      </c>
    </row>
    <row r="46" spans="2:2" x14ac:dyDescent="0.2">
      <c r="B46" s="13" t="s">
        <v>390</v>
      </c>
    </row>
    <row r="47" spans="2:2" x14ac:dyDescent="0.2">
      <c r="B47" s="13" t="s">
        <v>391</v>
      </c>
    </row>
    <row r="48" spans="2:2" x14ac:dyDescent="0.2">
      <c r="B48" s="13" t="s">
        <v>392</v>
      </c>
    </row>
    <row r="49" spans="2:2" x14ac:dyDescent="0.2">
      <c r="B49" s="13" t="s">
        <v>393</v>
      </c>
    </row>
    <row r="50" spans="2:2" x14ac:dyDescent="0.2">
      <c r="B50" s="13" t="s">
        <v>394</v>
      </c>
    </row>
    <row r="51" spans="2:2" x14ac:dyDescent="0.2">
      <c r="B51" s="13" t="s">
        <v>395</v>
      </c>
    </row>
    <row r="52" spans="2:2" x14ac:dyDescent="0.2">
      <c r="B52" s="13" t="s">
        <v>396</v>
      </c>
    </row>
    <row r="53" spans="2:2" x14ac:dyDescent="0.2">
      <c r="B53" s="13" t="s">
        <v>397</v>
      </c>
    </row>
    <row r="54" spans="2:2" x14ac:dyDescent="0.2">
      <c r="B54" s="13" t="s">
        <v>398</v>
      </c>
    </row>
    <row r="55" spans="2:2" x14ac:dyDescent="0.2">
      <c r="B55" s="13" t="s">
        <v>399</v>
      </c>
    </row>
    <row r="56" spans="2:2" x14ac:dyDescent="0.2">
      <c r="B56" s="13" t="s">
        <v>400</v>
      </c>
    </row>
    <row r="57" spans="2:2" x14ac:dyDescent="0.2">
      <c r="B57" s="13" t="s">
        <v>401</v>
      </c>
    </row>
    <row r="58" spans="2:2" x14ac:dyDescent="0.2">
      <c r="B58" s="13" t="s">
        <v>402</v>
      </c>
    </row>
    <row r="59" spans="2:2" x14ac:dyDescent="0.2">
      <c r="B59" s="13" t="s">
        <v>403</v>
      </c>
    </row>
    <row r="60" spans="2:2" x14ac:dyDescent="0.2">
      <c r="B60" s="13" t="s">
        <v>404</v>
      </c>
    </row>
    <row r="61" spans="2:2" x14ac:dyDescent="0.2">
      <c r="B61" s="13" t="s">
        <v>405</v>
      </c>
    </row>
    <row r="62" spans="2:2" x14ac:dyDescent="0.2">
      <c r="B62" s="13" t="s">
        <v>406</v>
      </c>
    </row>
    <row r="63" spans="2:2" x14ac:dyDescent="0.2">
      <c r="B63" s="13" t="s">
        <v>407</v>
      </c>
    </row>
    <row r="64" spans="2:2" x14ac:dyDescent="0.2">
      <c r="B64" s="13" t="s">
        <v>408</v>
      </c>
    </row>
    <row r="65" spans="2:2" x14ac:dyDescent="0.2">
      <c r="B65" s="13" t="s">
        <v>409</v>
      </c>
    </row>
    <row r="66" spans="2:2" x14ac:dyDescent="0.2">
      <c r="B66" s="13" t="s">
        <v>410</v>
      </c>
    </row>
    <row r="67" spans="2:2" x14ac:dyDescent="0.2">
      <c r="B67" s="13" t="s">
        <v>411</v>
      </c>
    </row>
    <row r="68" spans="2:2" x14ac:dyDescent="0.2">
      <c r="B68" s="13" t="s">
        <v>412</v>
      </c>
    </row>
    <row r="69" spans="2:2" x14ac:dyDescent="0.2">
      <c r="B69" s="13" t="s">
        <v>413</v>
      </c>
    </row>
    <row r="70" spans="2:2" x14ac:dyDescent="0.2">
      <c r="B70" s="13" t="s">
        <v>414</v>
      </c>
    </row>
    <row r="71" spans="2:2" x14ac:dyDescent="0.2">
      <c r="B71" s="13" t="s">
        <v>415</v>
      </c>
    </row>
    <row r="72" spans="2:2" x14ac:dyDescent="0.2">
      <c r="B72" s="13" t="s">
        <v>416</v>
      </c>
    </row>
    <row r="73" spans="2:2" x14ac:dyDescent="0.2">
      <c r="B73" s="13" t="s">
        <v>417</v>
      </c>
    </row>
    <row r="74" spans="2:2" x14ac:dyDescent="0.2">
      <c r="B74" s="13" t="s">
        <v>418</v>
      </c>
    </row>
    <row r="75" spans="2:2" x14ac:dyDescent="0.2">
      <c r="B75" s="13" t="s">
        <v>419</v>
      </c>
    </row>
    <row r="76" spans="2:2" x14ac:dyDescent="0.2">
      <c r="B76" s="13" t="s">
        <v>420</v>
      </c>
    </row>
    <row r="77" spans="2:2" x14ac:dyDescent="0.2">
      <c r="B77" s="13" t="s">
        <v>421</v>
      </c>
    </row>
    <row r="78" spans="2:2" x14ac:dyDescent="0.2">
      <c r="B78" s="13" t="s">
        <v>422</v>
      </c>
    </row>
    <row r="79" spans="2:2" x14ac:dyDescent="0.2">
      <c r="B79" s="13" t="s">
        <v>423</v>
      </c>
    </row>
  </sheetData>
  <phoneticPr fontId="1"/>
  <hyperlinks>
    <hyperlink ref="B2" location="'産業大分類'!a1" display="産業大分類" xr:uid="{38533382-113E-497D-9EC2-27B6C1B272C9}"/>
    <hyperlink ref="B3" location="'産業中分類'!a1" display="産業中分類" xr:uid="{D8CFD44E-CFC3-40BC-935D-AEE3660007A8}"/>
    <hyperlink ref="B4" location="'産業小分類'!a1" display="産業小分類" xr:uid="{664D3C42-4F0F-4E90-BC21-3FC457ACEEBB}"/>
    <hyperlink ref="B5" location="'大阪府'!a1" display="大阪府" xr:uid="{8309764D-6212-4166-AB65-4AC38C56B864}"/>
    <hyperlink ref="B6" location="'大阪市'!a1" display="大阪市" xr:uid="{39FA577D-079C-4AEF-AF6F-D6FCCA38E823}"/>
    <hyperlink ref="B7" location="'大阪市都島区'!a1" display="大阪市都島区" xr:uid="{236A12F8-5FF7-4C89-8BD2-5F1B1444E61F}"/>
    <hyperlink ref="B8" location="'大阪市福島区'!a1" display="大阪市福島区" xr:uid="{80D9355C-80E1-489B-A811-20CFC3823C02}"/>
    <hyperlink ref="B9" location="'大阪市此花区'!a1" display="大阪市此花区" xr:uid="{2EB73A35-7E7F-4078-9937-BB9ED8558DFB}"/>
    <hyperlink ref="B10" location="'大阪市西区'!a1" display="大阪市西区" xr:uid="{DFE1F95E-3DB8-473C-904E-2BCE56F1190C}"/>
    <hyperlink ref="B11" location="'大阪市港区'!a1" display="大阪市港区" xr:uid="{DF166A60-EB55-4F57-8FCA-0CD119A62A60}"/>
    <hyperlink ref="B12" location="'大阪市大正区'!a1" display="大阪市大正区" xr:uid="{F0A34933-550F-4B0B-9FB9-267B84899DF4}"/>
    <hyperlink ref="B13" location="'大阪市天王寺区'!a1" display="大阪市天王寺区" xr:uid="{6A61B9FB-C403-45E0-8E57-B5B00F25584B}"/>
    <hyperlink ref="B14" location="'大阪市浪速区'!a1" display="大阪市浪速区" xr:uid="{E3EBE2E5-1EBD-46A5-8FB4-4DAB1850C8A8}"/>
    <hyperlink ref="B15" location="'大阪市西淀川区'!a1" display="大阪市西淀川区" xr:uid="{DE0E1D05-CF59-42CD-A27F-A441CFCC7E86}"/>
    <hyperlink ref="B16" location="'大阪市東淀川区'!a1" display="大阪市東淀川区" xr:uid="{26ECEDB9-B711-478E-9E1A-E32C22A85FD5}"/>
    <hyperlink ref="B17" location="'大阪市東成区'!a1" display="大阪市東成区" xr:uid="{03EC9245-BF7E-4B83-A1D8-BC8F8685DAC6}"/>
    <hyperlink ref="B18" location="'大阪市生野区'!a1" display="大阪市生野区" xr:uid="{0E1516D1-FFF3-4D18-B3F1-E20166907752}"/>
    <hyperlink ref="B19" location="'大阪市旭区'!a1" display="大阪市旭区" xr:uid="{471044FD-E147-43FA-B93A-6B5566605327}"/>
    <hyperlink ref="B20" location="'大阪市城東区'!a1" display="大阪市城東区" xr:uid="{35CEED60-0DE0-4C58-A0F3-67619002DB09}"/>
    <hyperlink ref="B21" location="'大阪市阿倍野区'!a1" display="大阪市阿倍野区" xr:uid="{274348E7-A03E-4721-A884-CF2A29921219}"/>
    <hyperlink ref="B22" location="'大阪市住吉区'!a1" display="大阪市住吉区" xr:uid="{108FFC9C-7484-4C30-9C0A-5CA13F177D00}"/>
    <hyperlink ref="B23" location="'大阪市東住吉区'!a1" display="大阪市東住吉区" xr:uid="{1D617FBD-32B0-435C-A31C-A76811E21AC7}"/>
    <hyperlink ref="B24" location="'大阪市西成区'!a1" display="大阪市西成区" xr:uid="{0E24EDD8-2ECA-414C-89B6-AE9FAB1842B6}"/>
    <hyperlink ref="B25" location="'大阪市淀川区'!a1" display="大阪市淀川区" xr:uid="{D0008041-BE32-404B-B5A9-65310398DCE0}"/>
    <hyperlink ref="B26" location="'大阪市鶴見区'!a1" display="大阪市鶴見区" xr:uid="{88EEF6F6-0B0E-4EF0-8CCC-B7AFD55BB74B}"/>
    <hyperlink ref="B27" location="'大阪市住之江区'!a1" display="大阪市住之江区" xr:uid="{116A21E3-1D20-4CCA-B35E-87A8D9DC9B61}"/>
    <hyperlink ref="B28" location="'大阪市平野区'!a1" display="大阪市平野区" xr:uid="{7EF019E0-8DE0-40A0-B77F-73627C11206F}"/>
    <hyperlink ref="B29" location="'大阪市北区'!a1" display="大阪市北区" xr:uid="{D53D2F26-C351-4368-B541-4586BB5763F2}"/>
    <hyperlink ref="B30" location="'大阪市中央区'!a1" display="大阪市中央区" xr:uid="{F7B72291-76F7-4608-969E-787CBB11082A}"/>
    <hyperlink ref="B31" location="'堺市'!a1" display="堺市" xr:uid="{09931F66-BA11-4034-83DC-F3768A23D5D9}"/>
    <hyperlink ref="B32" location="'堺市堺区'!a1" display="堺市堺区" xr:uid="{27A28E9E-81B5-4F66-A5C2-16E7DFFB49EA}"/>
    <hyperlink ref="B33" location="'堺市中区'!a1" display="堺市中区" xr:uid="{EFDA448C-2D58-4030-8FF5-55754F3D1FB1}"/>
    <hyperlink ref="B34" location="'堺市東区'!a1" display="堺市東区" xr:uid="{2CDD0DA8-8930-4EDD-A7C4-8DB84F7F3CCC}"/>
    <hyperlink ref="B35" location="'堺市西区'!a1" display="堺市西区" xr:uid="{6142EA8D-C575-4142-85FD-0BA0FED1E3EC}"/>
    <hyperlink ref="B36" location="'堺市南区'!a1" display="堺市南区" xr:uid="{91A77537-9C69-495D-810A-B48A04DF1399}"/>
    <hyperlink ref="B37" location="'堺市北区'!a1" display="堺市北区" xr:uid="{574DAF82-F742-4DB4-BB52-CA87CD944DE2}"/>
    <hyperlink ref="B38" location="'堺市美原区'!a1" display="堺市美原区" xr:uid="{73F4C5D5-98C3-4C3E-BADF-E581292DE212}"/>
    <hyperlink ref="B39" location="'岸和田市'!a1" display="岸和田市" xr:uid="{89FA902A-5580-489C-8DAE-1853F70F6E15}"/>
    <hyperlink ref="B40" location="'豊中市'!a1" display="豊中市" xr:uid="{D30DE7C5-2C5A-49D0-A4AF-7F7B7141A6F0}"/>
    <hyperlink ref="B41" location="'池田市'!a1" display="池田市" xr:uid="{51757A8D-A1B3-4E6D-8C78-2FA2416E154C}"/>
    <hyperlink ref="B42" location="'吹田市'!a1" display="吹田市" xr:uid="{ECC6B3D2-F4BA-4DAC-ACBD-B6B5BC3DC401}"/>
    <hyperlink ref="B43" location="'泉大津市'!a1" display="泉大津市" xr:uid="{C8F2686B-E835-4C55-9F96-30845D1A68D3}"/>
    <hyperlink ref="B44" location="'高槻市'!a1" display="高槻市" xr:uid="{0E36A5EE-E741-4D5A-A646-572E9512BD9E}"/>
    <hyperlink ref="B45" location="'貝塚市'!a1" display="貝塚市" xr:uid="{1F2BD627-6257-45C3-9D60-123B65B7B4B8}"/>
    <hyperlink ref="B46" location="'守口市'!a1" display="守口市" xr:uid="{3B1B35AC-7B7E-4CA6-AC92-7B9C0993076B}"/>
    <hyperlink ref="B47" location="'枚方市'!a1" display="枚方市" xr:uid="{495D4C69-993B-41C7-80FB-8C0BB7E4BB5B}"/>
    <hyperlink ref="B48" location="'茨木市'!a1" display="茨木市" xr:uid="{AB26A74D-2C56-46A7-8F1D-FA70F387D5D0}"/>
    <hyperlink ref="B49" location="'八尾市'!a1" display="八尾市" xr:uid="{9DAB187B-9E24-439C-A32B-3FC2C6915023}"/>
    <hyperlink ref="B50" location="'泉佐野市'!a1" display="泉佐野市" xr:uid="{1CED38AB-7DC7-468A-B5CB-16750B61AB8A}"/>
    <hyperlink ref="B51" location="'富田林市'!a1" display="富田林市" xr:uid="{58693F5F-F82B-4615-AFCA-76E6DB8B6D24}"/>
    <hyperlink ref="B52" location="'寝屋川市'!a1" display="寝屋川市" xr:uid="{827B2953-7283-43D4-806B-0CC11FA8D5F2}"/>
    <hyperlink ref="B53" location="'河内長野市'!a1" display="河内長野市" xr:uid="{E4DFB1BF-2DDD-4972-A0B2-100F8B2C31B1}"/>
    <hyperlink ref="B54" location="'松原市'!a1" display="松原市" xr:uid="{99A3B488-B8FE-4747-86B9-9F04A2D2FD46}"/>
    <hyperlink ref="B55" location="'大東市'!a1" display="大東市" xr:uid="{19804032-971A-4358-9096-38FC088A5623}"/>
    <hyperlink ref="B56" location="'和泉市'!a1" display="和泉市" xr:uid="{75516B1E-F133-4D17-8AC4-16EB28D003D3}"/>
    <hyperlink ref="B57" location="'箕面市'!a1" display="箕面市" xr:uid="{C4A482D9-E6E1-405E-AE74-B227761D7005}"/>
    <hyperlink ref="B58" location="'柏原市'!a1" display="柏原市" xr:uid="{AE84A921-F00E-47C0-A5CC-620D8960E7AF}"/>
    <hyperlink ref="B59" location="'羽曳野市'!a1" display="羽曳野市" xr:uid="{A267D593-C145-4B80-8203-6882172A326E}"/>
    <hyperlink ref="B60" location="'門真市'!a1" display="門真市" xr:uid="{B2B0F1B4-CDBA-4097-B1F8-CD9D372D57CC}"/>
    <hyperlink ref="B61" location="'摂津市'!a1" display="摂津市" xr:uid="{751C20D9-1A78-4FE9-AC2E-D129295B601D}"/>
    <hyperlink ref="B62" location="'高石市'!a1" display="高石市" xr:uid="{50B8413C-43E0-4775-896A-F876E30890B0}"/>
    <hyperlink ref="B63" location="'藤井寺市'!a1" display="藤井寺市" xr:uid="{9B6A7C8D-FDBE-4DF6-8C36-AD825314D4C4}"/>
    <hyperlink ref="B64" location="'東大阪市'!a1" display="東大阪市" xr:uid="{41B81308-F5D9-4C9F-8CD3-892291940779}"/>
    <hyperlink ref="B65" location="'泉南市'!a1" display="泉南市" xr:uid="{2A949E0B-9048-44C6-9CD6-EC6B9DA0531B}"/>
    <hyperlink ref="B66" location="'四條畷市'!a1" display="四條畷市" xr:uid="{C2079235-3EA3-4904-AB8D-7898D754CBD1}"/>
    <hyperlink ref="B67" location="'交野市'!a1" display="交野市" xr:uid="{FDD6117A-F8E1-4E0F-8ADF-59BEE507F46C}"/>
    <hyperlink ref="B68" location="'大阪狭山市'!a1" display="大阪狭山市" xr:uid="{AD7044C6-5262-4BFC-ADB3-B813A1787B48}"/>
    <hyperlink ref="B69" location="'阪南市'!a1" display="阪南市" xr:uid="{55C1D58A-DBEF-4FEF-864E-573209E69673}"/>
    <hyperlink ref="B70" location="'三島郡島本町'!a1" display="三島郡島本町" xr:uid="{79F6E8DA-EBCF-40CA-8E64-5A698E2C2118}"/>
    <hyperlink ref="B71" location="'豊能郡豊能町'!a1" display="豊能郡豊能町" xr:uid="{A52069B4-BE16-4504-A05B-7685805675F1}"/>
    <hyperlink ref="B72" location="'豊能郡能勢町'!a1" display="豊能郡能勢町" xr:uid="{0EB2437A-26E7-472A-9D32-CB7A58BE206E}"/>
    <hyperlink ref="B73" location="'泉北郡忠岡町'!a1" display="泉北郡忠岡町" xr:uid="{9328FF49-B7DA-4404-80F2-7F967F809D27}"/>
    <hyperlink ref="B74" location="'泉南郡熊取町'!a1" display="泉南郡熊取町" xr:uid="{FCDA0C8A-BF8F-4288-81EF-9848173E77A5}"/>
    <hyperlink ref="B75" location="'泉南郡田尻町'!a1" display="泉南郡田尻町" xr:uid="{96C64A38-CD28-4960-9185-8292DFAABCE6}"/>
    <hyperlink ref="B76" location="'泉南郡岬町'!a1" display="泉南郡岬町" xr:uid="{6238C7DD-93D9-4E50-BED5-96C4A34531E7}"/>
    <hyperlink ref="B77" location="'南河内郡太子町'!a1" display="南河内郡太子町" xr:uid="{51ABCB7B-F2DC-4746-A2B9-6323BFBD9BA6}"/>
    <hyperlink ref="B78" location="'南河内郡河南町'!a1" display="南河内郡河南町" xr:uid="{5BB089F5-1C68-4E78-AAE7-2EC791732D8D}"/>
    <hyperlink ref="B79" location="'南河内郡千早赤阪村'!a1" display="南河内郡千早赤阪村" xr:uid="{513D3076-9396-4BAA-82E6-86A5C09F09A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9C9FD-FC13-4AD8-B848-803CEAB86ECF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279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347</v>
      </c>
      <c r="D6" s="8">
        <v>6.02</v>
      </c>
      <c r="E6" s="12">
        <v>22</v>
      </c>
      <c r="F6" s="8">
        <v>1.27</v>
      </c>
      <c r="G6" s="12">
        <v>325</v>
      </c>
      <c r="H6" s="8">
        <v>8.09</v>
      </c>
      <c r="I6" s="12">
        <v>0</v>
      </c>
    </row>
    <row r="7" spans="2:9" ht="15" customHeight="1" x14ac:dyDescent="0.2">
      <c r="B7" t="s">
        <v>77</v>
      </c>
      <c r="C7" s="12">
        <v>565</v>
      </c>
      <c r="D7" s="8">
        <v>9.81</v>
      </c>
      <c r="E7" s="12">
        <v>152</v>
      </c>
      <c r="F7" s="8">
        <v>8.77</v>
      </c>
      <c r="G7" s="12">
        <v>413</v>
      </c>
      <c r="H7" s="8">
        <v>10.28</v>
      </c>
      <c r="I7" s="12">
        <v>0</v>
      </c>
    </row>
    <row r="8" spans="2:9" ht="15" customHeight="1" x14ac:dyDescent="0.2">
      <c r="B8" t="s">
        <v>78</v>
      </c>
      <c r="C8" s="12">
        <v>3</v>
      </c>
      <c r="D8" s="8">
        <v>0.05</v>
      </c>
      <c r="E8" s="12">
        <v>0</v>
      </c>
      <c r="F8" s="8">
        <v>0</v>
      </c>
      <c r="G8" s="12">
        <v>3</v>
      </c>
      <c r="H8" s="8">
        <v>7.0000000000000007E-2</v>
      </c>
      <c r="I8" s="12">
        <v>0</v>
      </c>
    </row>
    <row r="9" spans="2:9" ht="15" customHeight="1" x14ac:dyDescent="0.2">
      <c r="B9" t="s">
        <v>79</v>
      </c>
      <c r="C9" s="12">
        <v>227</v>
      </c>
      <c r="D9" s="8">
        <v>3.94</v>
      </c>
      <c r="E9" s="12">
        <v>23</v>
      </c>
      <c r="F9" s="8">
        <v>1.33</v>
      </c>
      <c r="G9" s="12">
        <v>203</v>
      </c>
      <c r="H9" s="8">
        <v>5.05</v>
      </c>
      <c r="I9" s="12">
        <v>1</v>
      </c>
    </row>
    <row r="10" spans="2:9" ht="15" customHeight="1" x14ac:dyDescent="0.2">
      <c r="B10" t="s">
        <v>80</v>
      </c>
      <c r="C10" s="12">
        <v>75</v>
      </c>
      <c r="D10" s="8">
        <v>1.3</v>
      </c>
      <c r="E10" s="12">
        <v>2</v>
      </c>
      <c r="F10" s="8">
        <v>0.12</v>
      </c>
      <c r="G10" s="12">
        <v>72</v>
      </c>
      <c r="H10" s="8">
        <v>1.79</v>
      </c>
      <c r="I10" s="12">
        <v>1</v>
      </c>
    </row>
    <row r="11" spans="2:9" ht="15" customHeight="1" x14ac:dyDescent="0.2">
      <c r="B11" t="s">
        <v>81</v>
      </c>
      <c r="C11" s="12">
        <v>1529</v>
      </c>
      <c r="D11" s="8">
        <v>26.55</v>
      </c>
      <c r="E11" s="12">
        <v>273</v>
      </c>
      <c r="F11" s="8">
        <v>15.74</v>
      </c>
      <c r="G11" s="12">
        <v>1256</v>
      </c>
      <c r="H11" s="8">
        <v>31.25</v>
      </c>
      <c r="I11" s="12">
        <v>0</v>
      </c>
    </row>
    <row r="12" spans="2:9" ht="15" customHeight="1" x14ac:dyDescent="0.2">
      <c r="B12" t="s">
        <v>82</v>
      </c>
      <c r="C12" s="12">
        <v>53</v>
      </c>
      <c r="D12" s="8">
        <v>0.92</v>
      </c>
      <c r="E12" s="12">
        <v>4</v>
      </c>
      <c r="F12" s="8">
        <v>0.23</v>
      </c>
      <c r="G12" s="12">
        <v>49</v>
      </c>
      <c r="H12" s="8">
        <v>1.22</v>
      </c>
      <c r="I12" s="12">
        <v>0</v>
      </c>
    </row>
    <row r="13" spans="2:9" ht="15" customHeight="1" x14ac:dyDescent="0.2">
      <c r="B13" t="s">
        <v>83</v>
      </c>
      <c r="C13" s="12">
        <v>698</v>
      </c>
      <c r="D13" s="8">
        <v>12.12</v>
      </c>
      <c r="E13" s="12">
        <v>67</v>
      </c>
      <c r="F13" s="8">
        <v>3.86</v>
      </c>
      <c r="G13" s="12">
        <v>631</v>
      </c>
      <c r="H13" s="8">
        <v>15.7</v>
      </c>
      <c r="I13" s="12">
        <v>0</v>
      </c>
    </row>
    <row r="14" spans="2:9" ht="15" customHeight="1" x14ac:dyDescent="0.2">
      <c r="B14" t="s">
        <v>84</v>
      </c>
      <c r="C14" s="12">
        <v>856</v>
      </c>
      <c r="D14" s="8">
        <v>14.86</v>
      </c>
      <c r="E14" s="12">
        <v>382</v>
      </c>
      <c r="F14" s="8">
        <v>22.03</v>
      </c>
      <c r="G14" s="12">
        <v>474</v>
      </c>
      <c r="H14" s="8">
        <v>11.79</v>
      </c>
      <c r="I14" s="12">
        <v>0</v>
      </c>
    </row>
    <row r="15" spans="2:9" ht="15" customHeight="1" x14ac:dyDescent="0.2">
      <c r="B15" t="s">
        <v>85</v>
      </c>
      <c r="C15" s="12">
        <v>584</v>
      </c>
      <c r="D15" s="8">
        <v>10.14</v>
      </c>
      <c r="E15" s="12">
        <v>459</v>
      </c>
      <c r="F15" s="8">
        <v>26.47</v>
      </c>
      <c r="G15" s="12">
        <v>125</v>
      </c>
      <c r="H15" s="8">
        <v>3.11</v>
      </c>
      <c r="I15" s="12">
        <v>0</v>
      </c>
    </row>
    <row r="16" spans="2:9" ht="15" customHeight="1" x14ac:dyDescent="0.2">
      <c r="B16" t="s">
        <v>86</v>
      </c>
      <c r="C16" s="12">
        <v>316</v>
      </c>
      <c r="D16" s="8">
        <v>5.49</v>
      </c>
      <c r="E16" s="12">
        <v>196</v>
      </c>
      <c r="F16" s="8">
        <v>11.3</v>
      </c>
      <c r="G16" s="12">
        <v>120</v>
      </c>
      <c r="H16" s="8">
        <v>2.99</v>
      </c>
      <c r="I16" s="12">
        <v>0</v>
      </c>
    </row>
    <row r="17" spans="2:9" ht="15" customHeight="1" x14ac:dyDescent="0.2">
      <c r="B17" t="s">
        <v>87</v>
      </c>
      <c r="C17" s="12">
        <v>89</v>
      </c>
      <c r="D17" s="8">
        <v>1.55</v>
      </c>
      <c r="E17" s="12">
        <v>45</v>
      </c>
      <c r="F17" s="8">
        <v>2.6</v>
      </c>
      <c r="G17" s="12">
        <v>43</v>
      </c>
      <c r="H17" s="8">
        <v>1.07</v>
      </c>
      <c r="I17" s="12">
        <v>0</v>
      </c>
    </row>
    <row r="18" spans="2:9" ht="15" customHeight="1" x14ac:dyDescent="0.2">
      <c r="B18" t="s">
        <v>88</v>
      </c>
      <c r="C18" s="12">
        <v>158</v>
      </c>
      <c r="D18" s="8">
        <v>2.74</v>
      </c>
      <c r="E18" s="12">
        <v>92</v>
      </c>
      <c r="F18" s="8">
        <v>5.31</v>
      </c>
      <c r="G18" s="12">
        <v>65</v>
      </c>
      <c r="H18" s="8">
        <v>1.62</v>
      </c>
      <c r="I18" s="12">
        <v>1</v>
      </c>
    </row>
    <row r="19" spans="2:9" ht="15" customHeight="1" x14ac:dyDescent="0.2">
      <c r="B19" t="s">
        <v>89</v>
      </c>
      <c r="C19" s="12">
        <v>260</v>
      </c>
      <c r="D19" s="8">
        <v>4.51</v>
      </c>
      <c r="E19" s="12">
        <v>17</v>
      </c>
      <c r="F19" s="8">
        <v>0.98</v>
      </c>
      <c r="G19" s="12">
        <v>240</v>
      </c>
      <c r="H19" s="8">
        <v>5.97</v>
      </c>
      <c r="I19" s="12">
        <v>3</v>
      </c>
    </row>
    <row r="20" spans="2:9" ht="15" customHeight="1" x14ac:dyDescent="0.2">
      <c r="B20" s="9" t="s">
        <v>271</v>
      </c>
      <c r="C20" s="12">
        <f>SUM(LTBL_27106[総数／事業所数])</f>
        <v>5760</v>
      </c>
      <c r="E20" s="12">
        <f>SUBTOTAL(109,LTBL_27106[個人／事業所数])</f>
        <v>1734</v>
      </c>
      <c r="G20" s="12">
        <f>SUBTOTAL(109,LTBL_27106[法人／事業所数])</f>
        <v>4019</v>
      </c>
      <c r="I20" s="12">
        <f>SUBTOTAL(109,LTBL_27106[法人以外の団体／事業所数])</f>
        <v>6</v>
      </c>
    </row>
    <row r="21" spans="2:9" ht="15" customHeight="1" x14ac:dyDescent="0.2">
      <c r="E21" s="11">
        <f>LTBL_27106[[#Totals],[個人／事業所数]]/LTBL_27106[[#Totals],[総数／事業所数]]</f>
        <v>0.30104166666666665</v>
      </c>
      <c r="G21" s="11">
        <f>LTBL_27106[[#Totals],[法人／事業所数]]/LTBL_27106[[#Totals],[総数／事業所数]]</f>
        <v>0.6977430555555556</v>
      </c>
      <c r="I21" s="11">
        <f>LTBL_27106[[#Totals],[法人以外の団体／事業所数]]/LTBL_27106[[#Totals],[総数／事業所数]]</f>
        <v>1.0416666666666667E-3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113</v>
      </c>
      <c r="C24" s="12">
        <v>543</v>
      </c>
      <c r="D24" s="8">
        <v>9.43</v>
      </c>
      <c r="E24" s="12">
        <v>452</v>
      </c>
      <c r="F24" s="8">
        <v>26.07</v>
      </c>
      <c r="G24" s="12">
        <v>91</v>
      </c>
      <c r="H24" s="8">
        <v>2.2599999999999998</v>
      </c>
      <c r="I24" s="12">
        <v>0</v>
      </c>
    </row>
    <row r="25" spans="2:9" ht="15" customHeight="1" x14ac:dyDescent="0.2">
      <c r="B25" t="s">
        <v>111</v>
      </c>
      <c r="C25" s="12">
        <v>530</v>
      </c>
      <c r="D25" s="8">
        <v>9.1999999999999993</v>
      </c>
      <c r="E25" s="12">
        <v>257</v>
      </c>
      <c r="F25" s="8">
        <v>14.82</v>
      </c>
      <c r="G25" s="12">
        <v>273</v>
      </c>
      <c r="H25" s="8">
        <v>6.79</v>
      </c>
      <c r="I25" s="12">
        <v>0</v>
      </c>
    </row>
    <row r="26" spans="2:9" ht="15" customHeight="1" x14ac:dyDescent="0.2">
      <c r="B26" t="s">
        <v>110</v>
      </c>
      <c r="C26" s="12">
        <v>511</v>
      </c>
      <c r="D26" s="8">
        <v>8.8699999999999992</v>
      </c>
      <c r="E26" s="12">
        <v>55</v>
      </c>
      <c r="F26" s="8">
        <v>3.17</v>
      </c>
      <c r="G26" s="12">
        <v>456</v>
      </c>
      <c r="H26" s="8">
        <v>11.35</v>
      </c>
      <c r="I26" s="12">
        <v>0</v>
      </c>
    </row>
    <row r="27" spans="2:9" ht="15" customHeight="1" x14ac:dyDescent="0.2">
      <c r="B27" t="s">
        <v>112</v>
      </c>
      <c r="C27" s="12">
        <v>272</v>
      </c>
      <c r="D27" s="8">
        <v>4.72</v>
      </c>
      <c r="E27" s="12">
        <v>120</v>
      </c>
      <c r="F27" s="8">
        <v>6.92</v>
      </c>
      <c r="G27" s="12">
        <v>152</v>
      </c>
      <c r="H27" s="8">
        <v>3.78</v>
      </c>
      <c r="I27" s="12">
        <v>0</v>
      </c>
    </row>
    <row r="28" spans="2:9" ht="15" customHeight="1" x14ac:dyDescent="0.2">
      <c r="B28" t="s">
        <v>103</v>
      </c>
      <c r="C28" s="12">
        <v>253</v>
      </c>
      <c r="D28" s="8">
        <v>4.3899999999999997</v>
      </c>
      <c r="E28" s="12">
        <v>14</v>
      </c>
      <c r="F28" s="8">
        <v>0.81</v>
      </c>
      <c r="G28" s="12">
        <v>239</v>
      </c>
      <c r="H28" s="8">
        <v>5.95</v>
      </c>
      <c r="I28" s="12">
        <v>0</v>
      </c>
    </row>
    <row r="29" spans="2:9" ht="15" customHeight="1" x14ac:dyDescent="0.2">
      <c r="B29" t="s">
        <v>102</v>
      </c>
      <c r="C29" s="12">
        <v>234</v>
      </c>
      <c r="D29" s="8">
        <v>4.0599999999999996</v>
      </c>
      <c r="E29" s="12">
        <v>13</v>
      </c>
      <c r="F29" s="8">
        <v>0.75</v>
      </c>
      <c r="G29" s="12">
        <v>221</v>
      </c>
      <c r="H29" s="8">
        <v>5.5</v>
      </c>
      <c r="I29" s="12">
        <v>0</v>
      </c>
    </row>
    <row r="30" spans="2:9" ht="15" customHeight="1" x14ac:dyDescent="0.2">
      <c r="B30" t="s">
        <v>104</v>
      </c>
      <c r="C30" s="12">
        <v>227</v>
      </c>
      <c r="D30" s="8">
        <v>3.94</v>
      </c>
      <c r="E30" s="12">
        <v>20</v>
      </c>
      <c r="F30" s="8">
        <v>1.1499999999999999</v>
      </c>
      <c r="G30" s="12">
        <v>207</v>
      </c>
      <c r="H30" s="8">
        <v>5.15</v>
      </c>
      <c r="I30" s="12">
        <v>0</v>
      </c>
    </row>
    <row r="31" spans="2:9" ht="15" customHeight="1" x14ac:dyDescent="0.2">
      <c r="B31" t="s">
        <v>114</v>
      </c>
      <c r="C31" s="12">
        <v>221</v>
      </c>
      <c r="D31" s="8">
        <v>3.84</v>
      </c>
      <c r="E31" s="12">
        <v>167</v>
      </c>
      <c r="F31" s="8">
        <v>9.6300000000000008</v>
      </c>
      <c r="G31" s="12">
        <v>54</v>
      </c>
      <c r="H31" s="8">
        <v>1.34</v>
      </c>
      <c r="I31" s="12">
        <v>0</v>
      </c>
    </row>
    <row r="32" spans="2:9" ht="15" customHeight="1" x14ac:dyDescent="0.2">
      <c r="B32" t="s">
        <v>108</v>
      </c>
      <c r="C32" s="12">
        <v>215</v>
      </c>
      <c r="D32" s="8">
        <v>3.73</v>
      </c>
      <c r="E32" s="12">
        <v>80</v>
      </c>
      <c r="F32" s="8">
        <v>4.6100000000000003</v>
      </c>
      <c r="G32" s="12">
        <v>135</v>
      </c>
      <c r="H32" s="8">
        <v>3.36</v>
      </c>
      <c r="I32" s="12">
        <v>0</v>
      </c>
    </row>
    <row r="33" spans="2:9" ht="15" customHeight="1" x14ac:dyDescent="0.2">
      <c r="B33" t="s">
        <v>101</v>
      </c>
      <c r="C33" s="12">
        <v>186</v>
      </c>
      <c r="D33" s="8">
        <v>3.23</v>
      </c>
      <c r="E33" s="12">
        <v>81</v>
      </c>
      <c r="F33" s="8">
        <v>4.67</v>
      </c>
      <c r="G33" s="12">
        <v>105</v>
      </c>
      <c r="H33" s="8">
        <v>2.61</v>
      </c>
      <c r="I33" s="12">
        <v>0</v>
      </c>
    </row>
    <row r="34" spans="2:9" ht="15" customHeight="1" x14ac:dyDescent="0.2">
      <c r="B34" t="s">
        <v>119</v>
      </c>
      <c r="C34" s="12">
        <v>169</v>
      </c>
      <c r="D34" s="8">
        <v>2.93</v>
      </c>
      <c r="E34" s="12">
        <v>5</v>
      </c>
      <c r="F34" s="8">
        <v>0.28999999999999998</v>
      </c>
      <c r="G34" s="12">
        <v>163</v>
      </c>
      <c r="H34" s="8">
        <v>4.0599999999999996</v>
      </c>
      <c r="I34" s="12">
        <v>1</v>
      </c>
    </row>
    <row r="35" spans="2:9" ht="15" customHeight="1" x14ac:dyDescent="0.2">
      <c r="B35" t="s">
        <v>109</v>
      </c>
      <c r="C35" s="12">
        <v>154</v>
      </c>
      <c r="D35" s="8">
        <v>2.67</v>
      </c>
      <c r="E35" s="12">
        <v>11</v>
      </c>
      <c r="F35" s="8">
        <v>0.63</v>
      </c>
      <c r="G35" s="12">
        <v>143</v>
      </c>
      <c r="H35" s="8">
        <v>3.56</v>
      </c>
      <c r="I35" s="12">
        <v>0</v>
      </c>
    </row>
    <row r="36" spans="2:9" ht="15" customHeight="1" x14ac:dyDescent="0.2">
      <c r="B36" t="s">
        <v>118</v>
      </c>
      <c r="C36" s="12">
        <v>149</v>
      </c>
      <c r="D36" s="8">
        <v>2.59</v>
      </c>
      <c r="E36" s="12">
        <v>8</v>
      </c>
      <c r="F36" s="8">
        <v>0.46</v>
      </c>
      <c r="G36" s="12">
        <v>141</v>
      </c>
      <c r="H36" s="8">
        <v>3.51</v>
      </c>
      <c r="I36" s="12">
        <v>0</v>
      </c>
    </row>
    <row r="37" spans="2:9" ht="15" customHeight="1" x14ac:dyDescent="0.2">
      <c r="B37" t="s">
        <v>105</v>
      </c>
      <c r="C37" s="12">
        <v>139</v>
      </c>
      <c r="D37" s="8">
        <v>2.41</v>
      </c>
      <c r="E37" s="12">
        <v>48</v>
      </c>
      <c r="F37" s="8">
        <v>2.77</v>
      </c>
      <c r="G37" s="12">
        <v>91</v>
      </c>
      <c r="H37" s="8">
        <v>2.2599999999999998</v>
      </c>
      <c r="I37" s="12">
        <v>0</v>
      </c>
    </row>
    <row r="38" spans="2:9" ht="15" customHeight="1" x14ac:dyDescent="0.2">
      <c r="B38" t="s">
        <v>98</v>
      </c>
      <c r="C38" s="12">
        <v>132</v>
      </c>
      <c r="D38" s="8">
        <v>2.29</v>
      </c>
      <c r="E38" s="12">
        <v>2</v>
      </c>
      <c r="F38" s="8">
        <v>0.12</v>
      </c>
      <c r="G38" s="12">
        <v>130</v>
      </c>
      <c r="H38" s="8">
        <v>3.23</v>
      </c>
      <c r="I38" s="12">
        <v>0</v>
      </c>
    </row>
    <row r="39" spans="2:9" ht="15" customHeight="1" x14ac:dyDescent="0.2">
      <c r="B39" t="s">
        <v>100</v>
      </c>
      <c r="C39" s="12">
        <v>115</v>
      </c>
      <c r="D39" s="8">
        <v>2</v>
      </c>
      <c r="E39" s="12">
        <v>7</v>
      </c>
      <c r="F39" s="8">
        <v>0.4</v>
      </c>
      <c r="G39" s="12">
        <v>108</v>
      </c>
      <c r="H39" s="8">
        <v>2.69</v>
      </c>
      <c r="I39" s="12">
        <v>0</v>
      </c>
    </row>
    <row r="40" spans="2:9" ht="15" customHeight="1" x14ac:dyDescent="0.2">
      <c r="B40" t="s">
        <v>116</v>
      </c>
      <c r="C40" s="12">
        <v>112</v>
      </c>
      <c r="D40" s="8">
        <v>1.94</v>
      </c>
      <c r="E40" s="12">
        <v>90</v>
      </c>
      <c r="F40" s="8">
        <v>5.19</v>
      </c>
      <c r="G40" s="12">
        <v>22</v>
      </c>
      <c r="H40" s="8">
        <v>0.55000000000000004</v>
      </c>
      <c r="I40" s="12">
        <v>0</v>
      </c>
    </row>
    <row r="41" spans="2:9" ht="15" customHeight="1" x14ac:dyDescent="0.2">
      <c r="B41" t="s">
        <v>125</v>
      </c>
      <c r="C41" s="12">
        <v>106</v>
      </c>
      <c r="D41" s="8">
        <v>1.84</v>
      </c>
      <c r="E41" s="12">
        <v>2</v>
      </c>
      <c r="F41" s="8">
        <v>0.12</v>
      </c>
      <c r="G41" s="12">
        <v>104</v>
      </c>
      <c r="H41" s="8">
        <v>2.59</v>
      </c>
      <c r="I41" s="12">
        <v>0</v>
      </c>
    </row>
    <row r="42" spans="2:9" ht="15" customHeight="1" x14ac:dyDescent="0.2">
      <c r="B42" t="s">
        <v>106</v>
      </c>
      <c r="C42" s="12">
        <v>101</v>
      </c>
      <c r="D42" s="8">
        <v>1.75</v>
      </c>
      <c r="E42" s="12">
        <v>63</v>
      </c>
      <c r="F42" s="8">
        <v>3.63</v>
      </c>
      <c r="G42" s="12">
        <v>38</v>
      </c>
      <c r="H42" s="8">
        <v>0.95</v>
      </c>
      <c r="I42" s="12">
        <v>0</v>
      </c>
    </row>
    <row r="43" spans="2:9" ht="15" customHeight="1" x14ac:dyDescent="0.2">
      <c r="B43" t="s">
        <v>99</v>
      </c>
      <c r="C43" s="12">
        <v>100</v>
      </c>
      <c r="D43" s="8">
        <v>1.74</v>
      </c>
      <c r="E43" s="12">
        <v>13</v>
      </c>
      <c r="F43" s="8">
        <v>0.75</v>
      </c>
      <c r="G43" s="12">
        <v>87</v>
      </c>
      <c r="H43" s="8">
        <v>2.16</v>
      </c>
      <c r="I43" s="12">
        <v>0</v>
      </c>
    </row>
    <row r="46" spans="2:9" ht="33" customHeight="1" x14ac:dyDescent="0.2">
      <c r="B46" t="s">
        <v>273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164</v>
      </c>
      <c r="C47" s="12">
        <v>215</v>
      </c>
      <c r="D47" s="8">
        <v>3.73</v>
      </c>
      <c r="E47" s="12">
        <v>176</v>
      </c>
      <c r="F47" s="8">
        <v>10.15</v>
      </c>
      <c r="G47" s="12">
        <v>39</v>
      </c>
      <c r="H47" s="8">
        <v>0.97</v>
      </c>
      <c r="I47" s="12">
        <v>0</v>
      </c>
    </row>
    <row r="48" spans="2:9" ht="15" customHeight="1" x14ac:dyDescent="0.2">
      <c r="B48" t="s">
        <v>160</v>
      </c>
      <c r="C48" s="12">
        <v>200</v>
      </c>
      <c r="D48" s="8">
        <v>3.47</v>
      </c>
      <c r="E48" s="12">
        <v>24</v>
      </c>
      <c r="F48" s="8">
        <v>1.38</v>
      </c>
      <c r="G48" s="12">
        <v>176</v>
      </c>
      <c r="H48" s="8">
        <v>4.38</v>
      </c>
      <c r="I48" s="12">
        <v>0</v>
      </c>
    </row>
    <row r="49" spans="2:9" ht="15" customHeight="1" x14ac:dyDescent="0.2">
      <c r="B49" t="s">
        <v>172</v>
      </c>
      <c r="C49" s="12">
        <v>190</v>
      </c>
      <c r="D49" s="8">
        <v>3.3</v>
      </c>
      <c r="E49" s="12">
        <v>81</v>
      </c>
      <c r="F49" s="8">
        <v>4.67</v>
      </c>
      <c r="G49" s="12">
        <v>109</v>
      </c>
      <c r="H49" s="8">
        <v>2.71</v>
      </c>
      <c r="I49" s="12">
        <v>0</v>
      </c>
    </row>
    <row r="50" spans="2:9" ht="15" customHeight="1" x14ac:dyDescent="0.2">
      <c r="B50" t="s">
        <v>159</v>
      </c>
      <c r="C50" s="12">
        <v>181</v>
      </c>
      <c r="D50" s="8">
        <v>3.14</v>
      </c>
      <c r="E50" s="12">
        <v>8</v>
      </c>
      <c r="F50" s="8">
        <v>0.46</v>
      </c>
      <c r="G50" s="12">
        <v>173</v>
      </c>
      <c r="H50" s="8">
        <v>4.3</v>
      </c>
      <c r="I50" s="12">
        <v>0</v>
      </c>
    </row>
    <row r="51" spans="2:9" ht="15" customHeight="1" x14ac:dyDescent="0.2">
      <c r="B51" t="s">
        <v>154</v>
      </c>
      <c r="C51" s="12">
        <v>152</v>
      </c>
      <c r="D51" s="8">
        <v>2.64</v>
      </c>
      <c r="E51" s="12">
        <v>14</v>
      </c>
      <c r="F51" s="8">
        <v>0.81</v>
      </c>
      <c r="G51" s="12">
        <v>138</v>
      </c>
      <c r="H51" s="8">
        <v>3.43</v>
      </c>
      <c r="I51" s="12">
        <v>0</v>
      </c>
    </row>
    <row r="52" spans="2:9" ht="15" customHeight="1" x14ac:dyDescent="0.2">
      <c r="B52" t="s">
        <v>179</v>
      </c>
      <c r="C52" s="12">
        <v>140</v>
      </c>
      <c r="D52" s="8">
        <v>2.4300000000000002</v>
      </c>
      <c r="E52" s="12">
        <v>11</v>
      </c>
      <c r="F52" s="8">
        <v>0.63</v>
      </c>
      <c r="G52" s="12">
        <v>129</v>
      </c>
      <c r="H52" s="8">
        <v>3.21</v>
      </c>
      <c r="I52" s="12">
        <v>0</v>
      </c>
    </row>
    <row r="53" spans="2:9" ht="15" customHeight="1" x14ac:dyDescent="0.2">
      <c r="B53" t="s">
        <v>187</v>
      </c>
      <c r="C53" s="12">
        <v>139</v>
      </c>
      <c r="D53" s="8">
        <v>2.41</v>
      </c>
      <c r="E53" s="12">
        <v>57</v>
      </c>
      <c r="F53" s="8">
        <v>3.29</v>
      </c>
      <c r="G53" s="12">
        <v>82</v>
      </c>
      <c r="H53" s="8">
        <v>2.04</v>
      </c>
      <c r="I53" s="12">
        <v>0</v>
      </c>
    </row>
    <row r="54" spans="2:9" ht="15" customHeight="1" x14ac:dyDescent="0.2">
      <c r="B54" t="s">
        <v>173</v>
      </c>
      <c r="C54" s="12">
        <v>129</v>
      </c>
      <c r="D54" s="8">
        <v>2.2400000000000002</v>
      </c>
      <c r="E54" s="12">
        <v>4</v>
      </c>
      <c r="F54" s="8">
        <v>0.23</v>
      </c>
      <c r="G54" s="12">
        <v>124</v>
      </c>
      <c r="H54" s="8">
        <v>3.09</v>
      </c>
      <c r="I54" s="12">
        <v>1</v>
      </c>
    </row>
    <row r="55" spans="2:9" ht="15" customHeight="1" x14ac:dyDescent="0.2">
      <c r="B55" t="s">
        <v>169</v>
      </c>
      <c r="C55" s="12">
        <v>122</v>
      </c>
      <c r="D55" s="8">
        <v>2.12</v>
      </c>
      <c r="E55" s="12">
        <v>108</v>
      </c>
      <c r="F55" s="8">
        <v>6.23</v>
      </c>
      <c r="G55" s="12">
        <v>14</v>
      </c>
      <c r="H55" s="8">
        <v>0.35</v>
      </c>
      <c r="I55" s="12">
        <v>0</v>
      </c>
    </row>
    <row r="56" spans="2:9" ht="15" customHeight="1" x14ac:dyDescent="0.2">
      <c r="B56" t="s">
        <v>163</v>
      </c>
      <c r="C56" s="12">
        <v>115</v>
      </c>
      <c r="D56" s="8">
        <v>2</v>
      </c>
      <c r="E56" s="12">
        <v>105</v>
      </c>
      <c r="F56" s="8">
        <v>6.06</v>
      </c>
      <c r="G56" s="12">
        <v>10</v>
      </c>
      <c r="H56" s="8">
        <v>0.25</v>
      </c>
      <c r="I56" s="12">
        <v>0</v>
      </c>
    </row>
    <row r="57" spans="2:9" ht="15" customHeight="1" x14ac:dyDescent="0.2">
      <c r="B57" t="s">
        <v>158</v>
      </c>
      <c r="C57" s="12">
        <v>114</v>
      </c>
      <c r="D57" s="8">
        <v>1.98</v>
      </c>
      <c r="E57" s="12">
        <v>10</v>
      </c>
      <c r="F57" s="8">
        <v>0.57999999999999996</v>
      </c>
      <c r="G57" s="12">
        <v>104</v>
      </c>
      <c r="H57" s="8">
        <v>2.59</v>
      </c>
      <c r="I57" s="12">
        <v>0</v>
      </c>
    </row>
    <row r="58" spans="2:9" ht="15" customHeight="1" x14ac:dyDescent="0.2">
      <c r="B58" t="s">
        <v>165</v>
      </c>
      <c r="C58" s="12">
        <v>105</v>
      </c>
      <c r="D58" s="8">
        <v>1.82</v>
      </c>
      <c r="E58" s="12">
        <v>95</v>
      </c>
      <c r="F58" s="8">
        <v>5.48</v>
      </c>
      <c r="G58" s="12">
        <v>10</v>
      </c>
      <c r="H58" s="8">
        <v>0.25</v>
      </c>
      <c r="I58" s="12">
        <v>0</v>
      </c>
    </row>
    <row r="59" spans="2:9" ht="15" customHeight="1" x14ac:dyDescent="0.2">
      <c r="B59" t="s">
        <v>184</v>
      </c>
      <c r="C59" s="12">
        <v>98</v>
      </c>
      <c r="D59" s="8">
        <v>1.7</v>
      </c>
      <c r="E59" s="12">
        <v>42</v>
      </c>
      <c r="F59" s="8">
        <v>2.42</v>
      </c>
      <c r="G59" s="12">
        <v>56</v>
      </c>
      <c r="H59" s="8">
        <v>1.39</v>
      </c>
      <c r="I59" s="12">
        <v>0</v>
      </c>
    </row>
    <row r="60" spans="2:9" ht="15" customHeight="1" x14ac:dyDescent="0.2">
      <c r="B60" t="s">
        <v>167</v>
      </c>
      <c r="C60" s="12">
        <v>91</v>
      </c>
      <c r="D60" s="8">
        <v>1.58</v>
      </c>
      <c r="E60" s="12">
        <v>82</v>
      </c>
      <c r="F60" s="8">
        <v>4.7300000000000004</v>
      </c>
      <c r="G60" s="12">
        <v>9</v>
      </c>
      <c r="H60" s="8">
        <v>0.22</v>
      </c>
      <c r="I60" s="12">
        <v>0</v>
      </c>
    </row>
    <row r="61" spans="2:9" ht="15" customHeight="1" x14ac:dyDescent="0.2">
      <c r="B61" t="s">
        <v>185</v>
      </c>
      <c r="C61" s="12">
        <v>86</v>
      </c>
      <c r="D61" s="8">
        <v>1.49</v>
      </c>
      <c r="E61" s="12">
        <v>2</v>
      </c>
      <c r="F61" s="8">
        <v>0.12</v>
      </c>
      <c r="G61" s="12">
        <v>84</v>
      </c>
      <c r="H61" s="8">
        <v>2.09</v>
      </c>
      <c r="I61" s="12">
        <v>0</v>
      </c>
    </row>
    <row r="62" spans="2:9" ht="15" customHeight="1" x14ac:dyDescent="0.2">
      <c r="B62" t="s">
        <v>189</v>
      </c>
      <c r="C62" s="12">
        <v>86</v>
      </c>
      <c r="D62" s="8">
        <v>1.49</v>
      </c>
      <c r="E62" s="12">
        <v>4</v>
      </c>
      <c r="F62" s="8">
        <v>0.23</v>
      </c>
      <c r="G62" s="12">
        <v>82</v>
      </c>
      <c r="H62" s="8">
        <v>2.04</v>
      </c>
      <c r="I62" s="12">
        <v>0</v>
      </c>
    </row>
    <row r="63" spans="2:9" ht="15" customHeight="1" x14ac:dyDescent="0.2">
      <c r="B63" t="s">
        <v>188</v>
      </c>
      <c r="C63" s="12">
        <v>85</v>
      </c>
      <c r="D63" s="8">
        <v>1.48</v>
      </c>
      <c r="E63" s="12">
        <v>1</v>
      </c>
      <c r="F63" s="8">
        <v>0.06</v>
      </c>
      <c r="G63" s="12">
        <v>84</v>
      </c>
      <c r="H63" s="8">
        <v>2.09</v>
      </c>
      <c r="I63" s="12">
        <v>0</v>
      </c>
    </row>
    <row r="64" spans="2:9" ht="15" customHeight="1" x14ac:dyDescent="0.2">
      <c r="B64" t="s">
        <v>162</v>
      </c>
      <c r="C64" s="12">
        <v>84</v>
      </c>
      <c r="D64" s="8">
        <v>1.46</v>
      </c>
      <c r="E64" s="12">
        <v>6</v>
      </c>
      <c r="F64" s="8">
        <v>0.35</v>
      </c>
      <c r="G64" s="12">
        <v>78</v>
      </c>
      <c r="H64" s="8">
        <v>1.94</v>
      </c>
      <c r="I64" s="12">
        <v>0</v>
      </c>
    </row>
    <row r="65" spans="2:9" ht="15" customHeight="1" x14ac:dyDescent="0.2">
      <c r="B65" t="s">
        <v>186</v>
      </c>
      <c r="C65" s="12">
        <v>81</v>
      </c>
      <c r="D65" s="8">
        <v>1.41</v>
      </c>
      <c r="E65" s="12">
        <v>5</v>
      </c>
      <c r="F65" s="8">
        <v>0.28999999999999998</v>
      </c>
      <c r="G65" s="12">
        <v>76</v>
      </c>
      <c r="H65" s="8">
        <v>1.89</v>
      </c>
      <c r="I65" s="12">
        <v>0</v>
      </c>
    </row>
    <row r="66" spans="2:9" ht="15" customHeight="1" x14ac:dyDescent="0.2">
      <c r="B66" t="s">
        <v>157</v>
      </c>
      <c r="C66" s="12">
        <v>77</v>
      </c>
      <c r="D66" s="8">
        <v>1.34</v>
      </c>
      <c r="E66" s="12">
        <v>40</v>
      </c>
      <c r="F66" s="8">
        <v>2.31</v>
      </c>
      <c r="G66" s="12">
        <v>37</v>
      </c>
      <c r="H66" s="8">
        <v>0.92</v>
      </c>
      <c r="I66" s="12">
        <v>0</v>
      </c>
    </row>
    <row r="68" spans="2:9" ht="15" customHeight="1" x14ac:dyDescent="0.2">
      <c r="B68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3C414-8040-4D0F-A5B5-6B13E1BB3FEA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280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245</v>
      </c>
      <c r="D6" s="8">
        <v>11.07</v>
      </c>
      <c r="E6" s="12">
        <v>61</v>
      </c>
      <c r="F6" s="8">
        <v>5.25</v>
      </c>
      <c r="G6" s="12">
        <v>184</v>
      </c>
      <c r="H6" s="8">
        <v>17.62</v>
      </c>
      <c r="I6" s="12">
        <v>0</v>
      </c>
    </row>
    <row r="7" spans="2:9" ht="15" customHeight="1" x14ac:dyDescent="0.2">
      <c r="B7" t="s">
        <v>77</v>
      </c>
      <c r="C7" s="12">
        <v>366</v>
      </c>
      <c r="D7" s="8">
        <v>16.53</v>
      </c>
      <c r="E7" s="12">
        <v>163</v>
      </c>
      <c r="F7" s="8">
        <v>14.03</v>
      </c>
      <c r="G7" s="12">
        <v>203</v>
      </c>
      <c r="H7" s="8">
        <v>19.440000000000001</v>
      </c>
      <c r="I7" s="12">
        <v>0</v>
      </c>
    </row>
    <row r="8" spans="2:9" ht="15" customHeight="1" x14ac:dyDescent="0.2">
      <c r="B8" t="s">
        <v>78</v>
      </c>
      <c r="C8" s="12">
        <v>1</v>
      </c>
      <c r="D8" s="8">
        <v>0.05</v>
      </c>
      <c r="E8" s="12">
        <v>0</v>
      </c>
      <c r="F8" s="8">
        <v>0</v>
      </c>
      <c r="G8" s="12">
        <v>1</v>
      </c>
      <c r="H8" s="8">
        <v>0.1</v>
      </c>
      <c r="I8" s="12">
        <v>0</v>
      </c>
    </row>
    <row r="9" spans="2:9" ht="15" customHeight="1" x14ac:dyDescent="0.2">
      <c r="B9" t="s">
        <v>79</v>
      </c>
      <c r="C9" s="12">
        <v>10</v>
      </c>
      <c r="D9" s="8">
        <v>0.45</v>
      </c>
      <c r="E9" s="12">
        <v>1</v>
      </c>
      <c r="F9" s="8">
        <v>0.09</v>
      </c>
      <c r="G9" s="12">
        <v>9</v>
      </c>
      <c r="H9" s="8">
        <v>0.86</v>
      </c>
      <c r="I9" s="12">
        <v>0</v>
      </c>
    </row>
    <row r="10" spans="2:9" ht="15" customHeight="1" x14ac:dyDescent="0.2">
      <c r="B10" t="s">
        <v>80</v>
      </c>
      <c r="C10" s="12">
        <v>68</v>
      </c>
      <c r="D10" s="8">
        <v>3.07</v>
      </c>
      <c r="E10" s="12">
        <v>12</v>
      </c>
      <c r="F10" s="8">
        <v>1.03</v>
      </c>
      <c r="G10" s="12">
        <v>56</v>
      </c>
      <c r="H10" s="8">
        <v>5.36</v>
      </c>
      <c r="I10" s="12">
        <v>0</v>
      </c>
    </row>
    <row r="11" spans="2:9" ht="15" customHeight="1" x14ac:dyDescent="0.2">
      <c r="B11" t="s">
        <v>81</v>
      </c>
      <c r="C11" s="12">
        <v>528</v>
      </c>
      <c r="D11" s="8">
        <v>23.85</v>
      </c>
      <c r="E11" s="12">
        <v>278</v>
      </c>
      <c r="F11" s="8">
        <v>23.92</v>
      </c>
      <c r="G11" s="12">
        <v>249</v>
      </c>
      <c r="H11" s="8">
        <v>23.85</v>
      </c>
      <c r="I11" s="12">
        <v>1</v>
      </c>
    </row>
    <row r="12" spans="2:9" ht="15" customHeight="1" x14ac:dyDescent="0.2">
      <c r="B12" t="s">
        <v>82</v>
      </c>
      <c r="C12" s="12">
        <v>7</v>
      </c>
      <c r="D12" s="8">
        <v>0.32</v>
      </c>
      <c r="E12" s="12">
        <v>0</v>
      </c>
      <c r="F12" s="8">
        <v>0</v>
      </c>
      <c r="G12" s="12">
        <v>7</v>
      </c>
      <c r="H12" s="8">
        <v>0.67</v>
      </c>
      <c r="I12" s="12">
        <v>0</v>
      </c>
    </row>
    <row r="13" spans="2:9" ht="15" customHeight="1" x14ac:dyDescent="0.2">
      <c r="B13" t="s">
        <v>83</v>
      </c>
      <c r="C13" s="12">
        <v>211</v>
      </c>
      <c r="D13" s="8">
        <v>9.5299999999999994</v>
      </c>
      <c r="E13" s="12">
        <v>77</v>
      </c>
      <c r="F13" s="8">
        <v>6.63</v>
      </c>
      <c r="G13" s="12">
        <v>134</v>
      </c>
      <c r="H13" s="8">
        <v>12.84</v>
      </c>
      <c r="I13" s="12">
        <v>0</v>
      </c>
    </row>
    <row r="14" spans="2:9" ht="15" customHeight="1" x14ac:dyDescent="0.2">
      <c r="B14" t="s">
        <v>84</v>
      </c>
      <c r="C14" s="12">
        <v>74</v>
      </c>
      <c r="D14" s="8">
        <v>3.34</v>
      </c>
      <c r="E14" s="12">
        <v>31</v>
      </c>
      <c r="F14" s="8">
        <v>2.67</v>
      </c>
      <c r="G14" s="12">
        <v>43</v>
      </c>
      <c r="H14" s="8">
        <v>4.12</v>
      </c>
      <c r="I14" s="12">
        <v>0</v>
      </c>
    </row>
    <row r="15" spans="2:9" ht="15" customHeight="1" x14ac:dyDescent="0.2">
      <c r="B15" t="s">
        <v>85</v>
      </c>
      <c r="C15" s="12">
        <v>318</v>
      </c>
      <c r="D15" s="8">
        <v>14.36</v>
      </c>
      <c r="E15" s="12">
        <v>279</v>
      </c>
      <c r="F15" s="8">
        <v>24.01</v>
      </c>
      <c r="G15" s="12">
        <v>38</v>
      </c>
      <c r="H15" s="8">
        <v>3.64</v>
      </c>
      <c r="I15" s="12">
        <v>1</v>
      </c>
    </row>
    <row r="16" spans="2:9" ht="15" customHeight="1" x14ac:dyDescent="0.2">
      <c r="B16" t="s">
        <v>86</v>
      </c>
      <c r="C16" s="12">
        <v>190</v>
      </c>
      <c r="D16" s="8">
        <v>8.58</v>
      </c>
      <c r="E16" s="12">
        <v>159</v>
      </c>
      <c r="F16" s="8">
        <v>13.68</v>
      </c>
      <c r="G16" s="12">
        <v>31</v>
      </c>
      <c r="H16" s="8">
        <v>2.97</v>
      </c>
      <c r="I16" s="12">
        <v>0</v>
      </c>
    </row>
    <row r="17" spans="2:9" ht="15" customHeight="1" x14ac:dyDescent="0.2">
      <c r="B17" t="s">
        <v>87</v>
      </c>
      <c r="C17" s="12">
        <v>41</v>
      </c>
      <c r="D17" s="8">
        <v>1.85</v>
      </c>
      <c r="E17" s="12">
        <v>30</v>
      </c>
      <c r="F17" s="8">
        <v>2.58</v>
      </c>
      <c r="G17" s="12">
        <v>9</v>
      </c>
      <c r="H17" s="8">
        <v>0.86</v>
      </c>
      <c r="I17" s="12">
        <v>0</v>
      </c>
    </row>
    <row r="18" spans="2:9" ht="15" customHeight="1" x14ac:dyDescent="0.2">
      <c r="B18" t="s">
        <v>88</v>
      </c>
      <c r="C18" s="12">
        <v>101</v>
      </c>
      <c r="D18" s="8">
        <v>4.5599999999999996</v>
      </c>
      <c r="E18" s="12">
        <v>60</v>
      </c>
      <c r="F18" s="8">
        <v>5.16</v>
      </c>
      <c r="G18" s="12">
        <v>41</v>
      </c>
      <c r="H18" s="8">
        <v>3.93</v>
      </c>
      <c r="I18" s="12">
        <v>0</v>
      </c>
    </row>
    <row r="19" spans="2:9" ht="15" customHeight="1" x14ac:dyDescent="0.2">
      <c r="B19" t="s">
        <v>89</v>
      </c>
      <c r="C19" s="12">
        <v>54</v>
      </c>
      <c r="D19" s="8">
        <v>2.44</v>
      </c>
      <c r="E19" s="12">
        <v>11</v>
      </c>
      <c r="F19" s="8">
        <v>0.95</v>
      </c>
      <c r="G19" s="12">
        <v>39</v>
      </c>
      <c r="H19" s="8">
        <v>3.74</v>
      </c>
      <c r="I19" s="12">
        <v>4</v>
      </c>
    </row>
    <row r="20" spans="2:9" ht="15" customHeight="1" x14ac:dyDescent="0.2">
      <c r="B20" s="9" t="s">
        <v>271</v>
      </c>
      <c r="C20" s="12">
        <f>SUM(LTBL_27107[総数／事業所数])</f>
        <v>2214</v>
      </c>
      <c r="E20" s="12">
        <f>SUBTOTAL(109,LTBL_27107[個人／事業所数])</f>
        <v>1162</v>
      </c>
      <c r="G20" s="12">
        <f>SUBTOTAL(109,LTBL_27107[法人／事業所数])</f>
        <v>1044</v>
      </c>
      <c r="I20" s="12">
        <f>SUBTOTAL(109,LTBL_27107[法人以外の団体／事業所数])</f>
        <v>6</v>
      </c>
    </row>
    <row r="21" spans="2:9" ht="15" customHeight="1" x14ac:dyDescent="0.2">
      <c r="E21" s="11">
        <f>LTBL_27107[[#Totals],[個人／事業所数]]/LTBL_27107[[#Totals],[総数／事業所数]]</f>
        <v>0.52484191508581757</v>
      </c>
      <c r="G21" s="11">
        <f>LTBL_27107[[#Totals],[法人／事業所数]]/LTBL_27107[[#Totals],[総数／事業所数]]</f>
        <v>0.47154471544715448</v>
      </c>
      <c r="I21" s="11">
        <f>LTBL_27107[[#Totals],[法人以外の団体／事業所数]]/LTBL_27107[[#Totals],[総数／事業所数]]</f>
        <v>2.7100271002710027E-3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113</v>
      </c>
      <c r="C24" s="12">
        <v>298</v>
      </c>
      <c r="D24" s="8">
        <v>13.46</v>
      </c>
      <c r="E24" s="12">
        <v>271</v>
      </c>
      <c r="F24" s="8">
        <v>23.32</v>
      </c>
      <c r="G24" s="12">
        <v>26</v>
      </c>
      <c r="H24" s="8">
        <v>2.4900000000000002</v>
      </c>
      <c r="I24" s="12">
        <v>1</v>
      </c>
    </row>
    <row r="25" spans="2:9" ht="15" customHeight="1" x14ac:dyDescent="0.2">
      <c r="B25" t="s">
        <v>110</v>
      </c>
      <c r="C25" s="12">
        <v>169</v>
      </c>
      <c r="D25" s="8">
        <v>7.63</v>
      </c>
      <c r="E25" s="12">
        <v>74</v>
      </c>
      <c r="F25" s="8">
        <v>6.37</v>
      </c>
      <c r="G25" s="12">
        <v>95</v>
      </c>
      <c r="H25" s="8">
        <v>9.1</v>
      </c>
      <c r="I25" s="12">
        <v>0</v>
      </c>
    </row>
    <row r="26" spans="2:9" ht="15" customHeight="1" x14ac:dyDescent="0.2">
      <c r="B26" t="s">
        <v>114</v>
      </c>
      <c r="C26" s="12">
        <v>160</v>
      </c>
      <c r="D26" s="8">
        <v>7.23</v>
      </c>
      <c r="E26" s="12">
        <v>142</v>
      </c>
      <c r="F26" s="8">
        <v>12.22</v>
      </c>
      <c r="G26" s="12">
        <v>18</v>
      </c>
      <c r="H26" s="8">
        <v>1.72</v>
      </c>
      <c r="I26" s="12">
        <v>0</v>
      </c>
    </row>
    <row r="27" spans="2:9" ht="15" customHeight="1" x14ac:dyDescent="0.2">
      <c r="B27" t="s">
        <v>101</v>
      </c>
      <c r="C27" s="12">
        <v>155</v>
      </c>
      <c r="D27" s="8">
        <v>7</v>
      </c>
      <c r="E27" s="12">
        <v>88</v>
      </c>
      <c r="F27" s="8">
        <v>7.57</v>
      </c>
      <c r="G27" s="12">
        <v>67</v>
      </c>
      <c r="H27" s="8">
        <v>6.42</v>
      </c>
      <c r="I27" s="12">
        <v>0</v>
      </c>
    </row>
    <row r="28" spans="2:9" ht="15" customHeight="1" x14ac:dyDescent="0.2">
      <c r="B28" t="s">
        <v>108</v>
      </c>
      <c r="C28" s="12">
        <v>123</v>
      </c>
      <c r="D28" s="8">
        <v>5.56</v>
      </c>
      <c r="E28" s="12">
        <v>78</v>
      </c>
      <c r="F28" s="8">
        <v>6.71</v>
      </c>
      <c r="G28" s="12">
        <v>44</v>
      </c>
      <c r="H28" s="8">
        <v>4.21</v>
      </c>
      <c r="I28" s="12">
        <v>1</v>
      </c>
    </row>
    <row r="29" spans="2:9" ht="15" customHeight="1" x14ac:dyDescent="0.2">
      <c r="B29" t="s">
        <v>106</v>
      </c>
      <c r="C29" s="12">
        <v>109</v>
      </c>
      <c r="D29" s="8">
        <v>4.92</v>
      </c>
      <c r="E29" s="12">
        <v>89</v>
      </c>
      <c r="F29" s="8">
        <v>7.66</v>
      </c>
      <c r="G29" s="12">
        <v>20</v>
      </c>
      <c r="H29" s="8">
        <v>1.92</v>
      </c>
      <c r="I29" s="12">
        <v>0</v>
      </c>
    </row>
    <row r="30" spans="2:9" ht="15" customHeight="1" x14ac:dyDescent="0.2">
      <c r="B30" t="s">
        <v>98</v>
      </c>
      <c r="C30" s="12">
        <v>96</v>
      </c>
      <c r="D30" s="8">
        <v>4.34</v>
      </c>
      <c r="E30" s="12">
        <v>21</v>
      </c>
      <c r="F30" s="8">
        <v>1.81</v>
      </c>
      <c r="G30" s="12">
        <v>75</v>
      </c>
      <c r="H30" s="8">
        <v>7.18</v>
      </c>
      <c r="I30" s="12">
        <v>0</v>
      </c>
    </row>
    <row r="31" spans="2:9" ht="15" customHeight="1" x14ac:dyDescent="0.2">
      <c r="B31" t="s">
        <v>99</v>
      </c>
      <c r="C31" s="12">
        <v>92</v>
      </c>
      <c r="D31" s="8">
        <v>4.16</v>
      </c>
      <c r="E31" s="12">
        <v>24</v>
      </c>
      <c r="F31" s="8">
        <v>2.0699999999999998</v>
      </c>
      <c r="G31" s="12">
        <v>68</v>
      </c>
      <c r="H31" s="8">
        <v>6.51</v>
      </c>
      <c r="I31" s="12">
        <v>0</v>
      </c>
    </row>
    <row r="32" spans="2:9" ht="15" customHeight="1" x14ac:dyDescent="0.2">
      <c r="B32" t="s">
        <v>116</v>
      </c>
      <c r="C32" s="12">
        <v>72</v>
      </c>
      <c r="D32" s="8">
        <v>3.25</v>
      </c>
      <c r="E32" s="12">
        <v>60</v>
      </c>
      <c r="F32" s="8">
        <v>5.16</v>
      </c>
      <c r="G32" s="12">
        <v>12</v>
      </c>
      <c r="H32" s="8">
        <v>1.1499999999999999</v>
      </c>
      <c r="I32" s="12">
        <v>0</v>
      </c>
    </row>
    <row r="33" spans="2:9" ht="15" customHeight="1" x14ac:dyDescent="0.2">
      <c r="B33" t="s">
        <v>100</v>
      </c>
      <c r="C33" s="12">
        <v>57</v>
      </c>
      <c r="D33" s="8">
        <v>2.57</v>
      </c>
      <c r="E33" s="12">
        <v>16</v>
      </c>
      <c r="F33" s="8">
        <v>1.38</v>
      </c>
      <c r="G33" s="12">
        <v>41</v>
      </c>
      <c r="H33" s="8">
        <v>3.93</v>
      </c>
      <c r="I33" s="12">
        <v>0</v>
      </c>
    </row>
    <row r="34" spans="2:9" ht="15" customHeight="1" x14ac:dyDescent="0.2">
      <c r="B34" t="s">
        <v>107</v>
      </c>
      <c r="C34" s="12">
        <v>57</v>
      </c>
      <c r="D34" s="8">
        <v>2.57</v>
      </c>
      <c r="E34" s="12">
        <v>41</v>
      </c>
      <c r="F34" s="8">
        <v>3.53</v>
      </c>
      <c r="G34" s="12">
        <v>16</v>
      </c>
      <c r="H34" s="8">
        <v>1.53</v>
      </c>
      <c r="I34" s="12">
        <v>0</v>
      </c>
    </row>
    <row r="35" spans="2:9" ht="15" customHeight="1" x14ac:dyDescent="0.2">
      <c r="B35" t="s">
        <v>102</v>
      </c>
      <c r="C35" s="12">
        <v>53</v>
      </c>
      <c r="D35" s="8">
        <v>2.39</v>
      </c>
      <c r="E35" s="12">
        <v>11</v>
      </c>
      <c r="F35" s="8">
        <v>0.95</v>
      </c>
      <c r="G35" s="12">
        <v>42</v>
      </c>
      <c r="H35" s="8">
        <v>4.0199999999999996</v>
      </c>
      <c r="I35" s="12">
        <v>0</v>
      </c>
    </row>
    <row r="36" spans="2:9" ht="15" customHeight="1" x14ac:dyDescent="0.2">
      <c r="B36" t="s">
        <v>126</v>
      </c>
      <c r="C36" s="12">
        <v>50</v>
      </c>
      <c r="D36" s="8">
        <v>2.2599999999999998</v>
      </c>
      <c r="E36" s="12">
        <v>32</v>
      </c>
      <c r="F36" s="8">
        <v>2.75</v>
      </c>
      <c r="G36" s="12">
        <v>18</v>
      </c>
      <c r="H36" s="8">
        <v>1.72</v>
      </c>
      <c r="I36" s="12">
        <v>0</v>
      </c>
    </row>
    <row r="37" spans="2:9" ht="15" customHeight="1" x14ac:dyDescent="0.2">
      <c r="B37" t="s">
        <v>103</v>
      </c>
      <c r="C37" s="12">
        <v>49</v>
      </c>
      <c r="D37" s="8">
        <v>2.21</v>
      </c>
      <c r="E37" s="12">
        <v>7</v>
      </c>
      <c r="F37" s="8">
        <v>0.6</v>
      </c>
      <c r="G37" s="12">
        <v>42</v>
      </c>
      <c r="H37" s="8">
        <v>4.0199999999999996</v>
      </c>
      <c r="I37" s="12">
        <v>0</v>
      </c>
    </row>
    <row r="38" spans="2:9" ht="15" customHeight="1" x14ac:dyDescent="0.2">
      <c r="B38" t="s">
        <v>105</v>
      </c>
      <c r="C38" s="12">
        <v>47</v>
      </c>
      <c r="D38" s="8">
        <v>2.12</v>
      </c>
      <c r="E38" s="12">
        <v>34</v>
      </c>
      <c r="F38" s="8">
        <v>2.93</v>
      </c>
      <c r="G38" s="12">
        <v>13</v>
      </c>
      <c r="H38" s="8">
        <v>1.25</v>
      </c>
      <c r="I38" s="12">
        <v>0</v>
      </c>
    </row>
    <row r="39" spans="2:9" ht="15" customHeight="1" x14ac:dyDescent="0.2">
      <c r="B39" t="s">
        <v>127</v>
      </c>
      <c r="C39" s="12">
        <v>42</v>
      </c>
      <c r="D39" s="8">
        <v>1.9</v>
      </c>
      <c r="E39" s="12">
        <v>15</v>
      </c>
      <c r="F39" s="8">
        <v>1.29</v>
      </c>
      <c r="G39" s="12">
        <v>27</v>
      </c>
      <c r="H39" s="8">
        <v>2.59</v>
      </c>
      <c r="I39" s="12">
        <v>0</v>
      </c>
    </row>
    <row r="40" spans="2:9" ht="15" customHeight="1" x14ac:dyDescent="0.2">
      <c r="B40" t="s">
        <v>115</v>
      </c>
      <c r="C40" s="12">
        <v>41</v>
      </c>
      <c r="D40" s="8">
        <v>1.85</v>
      </c>
      <c r="E40" s="12">
        <v>30</v>
      </c>
      <c r="F40" s="8">
        <v>2.58</v>
      </c>
      <c r="G40" s="12">
        <v>9</v>
      </c>
      <c r="H40" s="8">
        <v>0.86</v>
      </c>
      <c r="I40" s="12">
        <v>0</v>
      </c>
    </row>
    <row r="41" spans="2:9" ht="15" customHeight="1" x14ac:dyDescent="0.2">
      <c r="B41" t="s">
        <v>111</v>
      </c>
      <c r="C41" s="12">
        <v>38</v>
      </c>
      <c r="D41" s="8">
        <v>1.72</v>
      </c>
      <c r="E41" s="12">
        <v>19</v>
      </c>
      <c r="F41" s="8">
        <v>1.64</v>
      </c>
      <c r="G41" s="12">
        <v>19</v>
      </c>
      <c r="H41" s="8">
        <v>1.82</v>
      </c>
      <c r="I41" s="12">
        <v>0</v>
      </c>
    </row>
    <row r="42" spans="2:9" ht="15" customHeight="1" x14ac:dyDescent="0.2">
      <c r="B42" t="s">
        <v>109</v>
      </c>
      <c r="C42" s="12">
        <v>36</v>
      </c>
      <c r="D42" s="8">
        <v>1.63</v>
      </c>
      <c r="E42" s="12">
        <v>3</v>
      </c>
      <c r="F42" s="8">
        <v>0.26</v>
      </c>
      <c r="G42" s="12">
        <v>33</v>
      </c>
      <c r="H42" s="8">
        <v>3.16</v>
      </c>
      <c r="I42" s="12">
        <v>0</v>
      </c>
    </row>
    <row r="43" spans="2:9" ht="15" customHeight="1" x14ac:dyDescent="0.2">
      <c r="B43" t="s">
        <v>112</v>
      </c>
      <c r="C43" s="12">
        <v>35</v>
      </c>
      <c r="D43" s="8">
        <v>1.58</v>
      </c>
      <c r="E43" s="12">
        <v>12</v>
      </c>
      <c r="F43" s="8">
        <v>1.03</v>
      </c>
      <c r="G43" s="12">
        <v>23</v>
      </c>
      <c r="H43" s="8">
        <v>2.2000000000000002</v>
      </c>
      <c r="I43" s="12">
        <v>0</v>
      </c>
    </row>
    <row r="46" spans="2:9" ht="33" customHeight="1" x14ac:dyDescent="0.2">
      <c r="B46" t="s">
        <v>273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160</v>
      </c>
      <c r="C47" s="12">
        <v>106</v>
      </c>
      <c r="D47" s="8">
        <v>4.79</v>
      </c>
      <c r="E47" s="12">
        <v>57</v>
      </c>
      <c r="F47" s="8">
        <v>4.91</v>
      </c>
      <c r="G47" s="12">
        <v>49</v>
      </c>
      <c r="H47" s="8">
        <v>4.6900000000000004</v>
      </c>
      <c r="I47" s="12">
        <v>0</v>
      </c>
    </row>
    <row r="48" spans="2:9" ht="15" customHeight="1" x14ac:dyDescent="0.2">
      <c r="B48" t="s">
        <v>184</v>
      </c>
      <c r="C48" s="12">
        <v>92</v>
      </c>
      <c r="D48" s="8">
        <v>4.16</v>
      </c>
      <c r="E48" s="12">
        <v>60</v>
      </c>
      <c r="F48" s="8">
        <v>5.16</v>
      </c>
      <c r="G48" s="12">
        <v>32</v>
      </c>
      <c r="H48" s="8">
        <v>3.07</v>
      </c>
      <c r="I48" s="12">
        <v>0</v>
      </c>
    </row>
    <row r="49" spans="2:9" ht="15" customHeight="1" x14ac:dyDescent="0.2">
      <c r="B49" t="s">
        <v>167</v>
      </c>
      <c r="C49" s="12">
        <v>75</v>
      </c>
      <c r="D49" s="8">
        <v>3.39</v>
      </c>
      <c r="E49" s="12">
        <v>71</v>
      </c>
      <c r="F49" s="8">
        <v>6.11</v>
      </c>
      <c r="G49" s="12">
        <v>4</v>
      </c>
      <c r="H49" s="8">
        <v>0.38</v>
      </c>
      <c r="I49" s="12">
        <v>0</v>
      </c>
    </row>
    <row r="50" spans="2:9" ht="15" customHeight="1" x14ac:dyDescent="0.2">
      <c r="B50" t="s">
        <v>169</v>
      </c>
      <c r="C50" s="12">
        <v>72</v>
      </c>
      <c r="D50" s="8">
        <v>3.25</v>
      </c>
      <c r="E50" s="12">
        <v>64</v>
      </c>
      <c r="F50" s="8">
        <v>5.51</v>
      </c>
      <c r="G50" s="12">
        <v>8</v>
      </c>
      <c r="H50" s="8">
        <v>0.77</v>
      </c>
      <c r="I50" s="12">
        <v>0</v>
      </c>
    </row>
    <row r="51" spans="2:9" ht="15" customHeight="1" x14ac:dyDescent="0.2">
      <c r="B51" t="s">
        <v>165</v>
      </c>
      <c r="C51" s="12">
        <v>70</v>
      </c>
      <c r="D51" s="8">
        <v>3.16</v>
      </c>
      <c r="E51" s="12">
        <v>68</v>
      </c>
      <c r="F51" s="8">
        <v>5.85</v>
      </c>
      <c r="G51" s="12">
        <v>2</v>
      </c>
      <c r="H51" s="8">
        <v>0.19</v>
      </c>
      <c r="I51" s="12">
        <v>0</v>
      </c>
    </row>
    <row r="52" spans="2:9" ht="15" customHeight="1" x14ac:dyDescent="0.2">
      <c r="B52" t="s">
        <v>164</v>
      </c>
      <c r="C52" s="12">
        <v>61</v>
      </c>
      <c r="D52" s="8">
        <v>2.76</v>
      </c>
      <c r="E52" s="12">
        <v>52</v>
      </c>
      <c r="F52" s="8">
        <v>4.4800000000000004</v>
      </c>
      <c r="G52" s="12">
        <v>9</v>
      </c>
      <c r="H52" s="8">
        <v>0.86</v>
      </c>
      <c r="I52" s="12">
        <v>0</v>
      </c>
    </row>
    <row r="53" spans="2:9" ht="15" customHeight="1" x14ac:dyDescent="0.2">
      <c r="B53" t="s">
        <v>157</v>
      </c>
      <c r="C53" s="12">
        <v>59</v>
      </c>
      <c r="D53" s="8">
        <v>2.66</v>
      </c>
      <c r="E53" s="12">
        <v>47</v>
      </c>
      <c r="F53" s="8">
        <v>4.04</v>
      </c>
      <c r="G53" s="12">
        <v>11</v>
      </c>
      <c r="H53" s="8">
        <v>1.05</v>
      </c>
      <c r="I53" s="12">
        <v>1</v>
      </c>
    </row>
    <row r="54" spans="2:9" ht="15" customHeight="1" x14ac:dyDescent="0.2">
      <c r="B54" t="s">
        <v>171</v>
      </c>
      <c r="C54" s="12">
        <v>52</v>
      </c>
      <c r="D54" s="8">
        <v>2.35</v>
      </c>
      <c r="E54" s="12">
        <v>42</v>
      </c>
      <c r="F54" s="8">
        <v>3.61</v>
      </c>
      <c r="G54" s="12">
        <v>10</v>
      </c>
      <c r="H54" s="8">
        <v>0.96</v>
      </c>
      <c r="I54" s="12">
        <v>0</v>
      </c>
    </row>
    <row r="55" spans="2:9" ht="15" customHeight="1" x14ac:dyDescent="0.2">
      <c r="B55" t="s">
        <v>168</v>
      </c>
      <c r="C55" s="12">
        <v>49</v>
      </c>
      <c r="D55" s="8">
        <v>2.21</v>
      </c>
      <c r="E55" s="12">
        <v>49</v>
      </c>
      <c r="F55" s="8">
        <v>4.22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156</v>
      </c>
      <c r="C56" s="12">
        <v>43</v>
      </c>
      <c r="D56" s="8">
        <v>1.94</v>
      </c>
      <c r="E56" s="12">
        <v>34</v>
      </c>
      <c r="F56" s="8">
        <v>2.93</v>
      </c>
      <c r="G56" s="12">
        <v>9</v>
      </c>
      <c r="H56" s="8">
        <v>0.86</v>
      </c>
      <c r="I56" s="12">
        <v>0</v>
      </c>
    </row>
    <row r="57" spans="2:9" ht="15" customHeight="1" x14ac:dyDescent="0.2">
      <c r="B57" t="s">
        <v>190</v>
      </c>
      <c r="C57" s="12">
        <v>34</v>
      </c>
      <c r="D57" s="8">
        <v>1.54</v>
      </c>
      <c r="E57" s="12">
        <v>3</v>
      </c>
      <c r="F57" s="8">
        <v>0.26</v>
      </c>
      <c r="G57" s="12">
        <v>31</v>
      </c>
      <c r="H57" s="8">
        <v>2.97</v>
      </c>
      <c r="I57" s="12">
        <v>0</v>
      </c>
    </row>
    <row r="58" spans="2:9" ht="15" customHeight="1" x14ac:dyDescent="0.2">
      <c r="B58" t="s">
        <v>193</v>
      </c>
      <c r="C58" s="12">
        <v>33</v>
      </c>
      <c r="D58" s="8">
        <v>1.49</v>
      </c>
      <c r="E58" s="12">
        <v>23</v>
      </c>
      <c r="F58" s="8">
        <v>1.98</v>
      </c>
      <c r="G58" s="12">
        <v>10</v>
      </c>
      <c r="H58" s="8">
        <v>0.96</v>
      </c>
      <c r="I58" s="12">
        <v>0</v>
      </c>
    </row>
    <row r="59" spans="2:9" ht="15" customHeight="1" x14ac:dyDescent="0.2">
      <c r="B59" t="s">
        <v>192</v>
      </c>
      <c r="C59" s="12">
        <v>32</v>
      </c>
      <c r="D59" s="8">
        <v>1.45</v>
      </c>
      <c r="E59" s="12">
        <v>15</v>
      </c>
      <c r="F59" s="8">
        <v>1.29</v>
      </c>
      <c r="G59" s="12">
        <v>17</v>
      </c>
      <c r="H59" s="8">
        <v>1.63</v>
      </c>
      <c r="I59" s="12">
        <v>0</v>
      </c>
    </row>
    <row r="60" spans="2:9" ht="15" customHeight="1" x14ac:dyDescent="0.2">
      <c r="B60" t="s">
        <v>194</v>
      </c>
      <c r="C60" s="12">
        <v>30</v>
      </c>
      <c r="D60" s="8">
        <v>1.36</v>
      </c>
      <c r="E60" s="12">
        <v>26</v>
      </c>
      <c r="F60" s="8">
        <v>2.2400000000000002</v>
      </c>
      <c r="G60" s="12">
        <v>4</v>
      </c>
      <c r="H60" s="8">
        <v>0.38</v>
      </c>
      <c r="I60" s="12">
        <v>0</v>
      </c>
    </row>
    <row r="61" spans="2:9" ht="15" customHeight="1" x14ac:dyDescent="0.2">
      <c r="B61" t="s">
        <v>191</v>
      </c>
      <c r="C61" s="12">
        <v>28</v>
      </c>
      <c r="D61" s="8">
        <v>1.26</v>
      </c>
      <c r="E61" s="12">
        <v>6</v>
      </c>
      <c r="F61" s="8">
        <v>0.52</v>
      </c>
      <c r="G61" s="12">
        <v>22</v>
      </c>
      <c r="H61" s="8">
        <v>2.11</v>
      </c>
      <c r="I61" s="12">
        <v>0</v>
      </c>
    </row>
    <row r="62" spans="2:9" ht="15" customHeight="1" x14ac:dyDescent="0.2">
      <c r="B62" t="s">
        <v>195</v>
      </c>
      <c r="C62" s="12">
        <v>28</v>
      </c>
      <c r="D62" s="8">
        <v>1.26</v>
      </c>
      <c r="E62" s="12">
        <v>19</v>
      </c>
      <c r="F62" s="8">
        <v>1.64</v>
      </c>
      <c r="G62" s="12">
        <v>9</v>
      </c>
      <c r="H62" s="8">
        <v>0.86</v>
      </c>
      <c r="I62" s="12">
        <v>0</v>
      </c>
    </row>
    <row r="63" spans="2:9" ht="15" customHeight="1" x14ac:dyDescent="0.2">
      <c r="B63" t="s">
        <v>170</v>
      </c>
      <c r="C63" s="12">
        <v>28</v>
      </c>
      <c r="D63" s="8">
        <v>1.26</v>
      </c>
      <c r="E63" s="12">
        <v>23</v>
      </c>
      <c r="F63" s="8">
        <v>1.98</v>
      </c>
      <c r="G63" s="12">
        <v>5</v>
      </c>
      <c r="H63" s="8">
        <v>0.48</v>
      </c>
      <c r="I63" s="12">
        <v>0</v>
      </c>
    </row>
    <row r="64" spans="2:9" ht="15" customHeight="1" x14ac:dyDescent="0.2">
      <c r="B64" t="s">
        <v>152</v>
      </c>
      <c r="C64" s="12">
        <v>27</v>
      </c>
      <c r="D64" s="8">
        <v>1.22</v>
      </c>
      <c r="E64" s="12">
        <v>6</v>
      </c>
      <c r="F64" s="8">
        <v>0.52</v>
      </c>
      <c r="G64" s="12">
        <v>21</v>
      </c>
      <c r="H64" s="8">
        <v>2.0099999999999998</v>
      </c>
      <c r="I64" s="12">
        <v>0</v>
      </c>
    </row>
    <row r="65" spans="2:9" ht="15" customHeight="1" x14ac:dyDescent="0.2">
      <c r="B65" t="s">
        <v>158</v>
      </c>
      <c r="C65" s="12">
        <v>27</v>
      </c>
      <c r="D65" s="8">
        <v>1.22</v>
      </c>
      <c r="E65" s="12">
        <v>3</v>
      </c>
      <c r="F65" s="8">
        <v>0.26</v>
      </c>
      <c r="G65" s="12">
        <v>24</v>
      </c>
      <c r="H65" s="8">
        <v>2.2999999999999998</v>
      </c>
      <c r="I65" s="12">
        <v>0</v>
      </c>
    </row>
    <row r="66" spans="2:9" ht="15" customHeight="1" x14ac:dyDescent="0.2">
      <c r="B66" t="s">
        <v>166</v>
      </c>
      <c r="C66" s="12">
        <v>27</v>
      </c>
      <c r="D66" s="8">
        <v>1.22</v>
      </c>
      <c r="E66" s="12">
        <v>26</v>
      </c>
      <c r="F66" s="8">
        <v>2.2400000000000002</v>
      </c>
      <c r="G66" s="12">
        <v>0</v>
      </c>
      <c r="H66" s="8">
        <v>0</v>
      </c>
      <c r="I66" s="12">
        <v>1</v>
      </c>
    </row>
    <row r="67" spans="2:9" ht="15" customHeight="1" x14ac:dyDescent="0.2">
      <c r="B67" t="s">
        <v>196</v>
      </c>
      <c r="C67" s="12">
        <v>27</v>
      </c>
      <c r="D67" s="8">
        <v>1.22</v>
      </c>
      <c r="E67" s="12">
        <v>19</v>
      </c>
      <c r="F67" s="8">
        <v>1.64</v>
      </c>
      <c r="G67" s="12">
        <v>8</v>
      </c>
      <c r="H67" s="8">
        <v>0.77</v>
      </c>
      <c r="I67" s="12">
        <v>0</v>
      </c>
    </row>
    <row r="69" spans="2:9" ht="15" customHeight="1" x14ac:dyDescent="0.2">
      <c r="B69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7153A-490F-4999-B2CA-7EAF68443E73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281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218</v>
      </c>
      <c r="D6" s="8">
        <v>11.63</v>
      </c>
      <c r="E6" s="12">
        <v>44</v>
      </c>
      <c r="F6" s="8">
        <v>4.62</v>
      </c>
      <c r="G6" s="12">
        <v>174</v>
      </c>
      <c r="H6" s="8">
        <v>18.97</v>
      </c>
      <c r="I6" s="12">
        <v>0</v>
      </c>
    </row>
    <row r="7" spans="2:9" ht="15" customHeight="1" x14ac:dyDescent="0.2">
      <c r="B7" t="s">
        <v>77</v>
      </c>
      <c r="C7" s="12">
        <v>317</v>
      </c>
      <c r="D7" s="8">
        <v>16.920000000000002</v>
      </c>
      <c r="E7" s="12">
        <v>106</v>
      </c>
      <c r="F7" s="8">
        <v>11.12</v>
      </c>
      <c r="G7" s="12">
        <v>211</v>
      </c>
      <c r="H7" s="8">
        <v>23.01</v>
      </c>
      <c r="I7" s="12">
        <v>0</v>
      </c>
    </row>
    <row r="8" spans="2:9" ht="15" customHeight="1" x14ac:dyDescent="0.2">
      <c r="B8" t="s">
        <v>78</v>
      </c>
      <c r="C8" s="12">
        <v>2</v>
      </c>
      <c r="D8" s="8">
        <v>0.11</v>
      </c>
      <c r="E8" s="12">
        <v>0</v>
      </c>
      <c r="F8" s="8">
        <v>0</v>
      </c>
      <c r="G8" s="12">
        <v>2</v>
      </c>
      <c r="H8" s="8">
        <v>0.22</v>
      </c>
      <c r="I8" s="12">
        <v>0</v>
      </c>
    </row>
    <row r="9" spans="2:9" ht="15" customHeight="1" x14ac:dyDescent="0.2">
      <c r="B9" t="s">
        <v>79</v>
      </c>
      <c r="C9" s="12">
        <v>16</v>
      </c>
      <c r="D9" s="8">
        <v>0.85</v>
      </c>
      <c r="E9" s="12">
        <v>1</v>
      </c>
      <c r="F9" s="8">
        <v>0.1</v>
      </c>
      <c r="G9" s="12">
        <v>15</v>
      </c>
      <c r="H9" s="8">
        <v>1.64</v>
      </c>
      <c r="I9" s="12">
        <v>0</v>
      </c>
    </row>
    <row r="10" spans="2:9" ht="15" customHeight="1" x14ac:dyDescent="0.2">
      <c r="B10" t="s">
        <v>80</v>
      </c>
      <c r="C10" s="12">
        <v>63</v>
      </c>
      <c r="D10" s="8">
        <v>3.36</v>
      </c>
      <c r="E10" s="12">
        <v>14</v>
      </c>
      <c r="F10" s="8">
        <v>1.47</v>
      </c>
      <c r="G10" s="12">
        <v>49</v>
      </c>
      <c r="H10" s="8">
        <v>5.34</v>
      </c>
      <c r="I10" s="12">
        <v>0</v>
      </c>
    </row>
    <row r="11" spans="2:9" ht="15" customHeight="1" x14ac:dyDescent="0.2">
      <c r="B11" t="s">
        <v>81</v>
      </c>
      <c r="C11" s="12">
        <v>440</v>
      </c>
      <c r="D11" s="8">
        <v>23.48</v>
      </c>
      <c r="E11" s="12">
        <v>243</v>
      </c>
      <c r="F11" s="8">
        <v>25.5</v>
      </c>
      <c r="G11" s="12">
        <v>197</v>
      </c>
      <c r="H11" s="8">
        <v>21.48</v>
      </c>
      <c r="I11" s="12">
        <v>0</v>
      </c>
    </row>
    <row r="12" spans="2:9" ht="15" customHeight="1" x14ac:dyDescent="0.2">
      <c r="B12" t="s">
        <v>82</v>
      </c>
      <c r="C12" s="12">
        <v>4</v>
      </c>
      <c r="D12" s="8">
        <v>0.21</v>
      </c>
      <c r="E12" s="12">
        <v>0</v>
      </c>
      <c r="F12" s="8">
        <v>0</v>
      </c>
      <c r="G12" s="12">
        <v>4</v>
      </c>
      <c r="H12" s="8">
        <v>0.44</v>
      </c>
      <c r="I12" s="12">
        <v>0</v>
      </c>
    </row>
    <row r="13" spans="2:9" ht="15" customHeight="1" x14ac:dyDescent="0.2">
      <c r="B13" t="s">
        <v>83</v>
      </c>
      <c r="C13" s="12">
        <v>178</v>
      </c>
      <c r="D13" s="8">
        <v>9.5</v>
      </c>
      <c r="E13" s="12">
        <v>67</v>
      </c>
      <c r="F13" s="8">
        <v>7.03</v>
      </c>
      <c r="G13" s="12">
        <v>111</v>
      </c>
      <c r="H13" s="8">
        <v>12.1</v>
      </c>
      <c r="I13" s="12">
        <v>0</v>
      </c>
    </row>
    <row r="14" spans="2:9" ht="15" customHeight="1" x14ac:dyDescent="0.2">
      <c r="B14" t="s">
        <v>84</v>
      </c>
      <c r="C14" s="12">
        <v>48</v>
      </c>
      <c r="D14" s="8">
        <v>2.56</v>
      </c>
      <c r="E14" s="12">
        <v>16</v>
      </c>
      <c r="F14" s="8">
        <v>1.68</v>
      </c>
      <c r="G14" s="12">
        <v>31</v>
      </c>
      <c r="H14" s="8">
        <v>3.38</v>
      </c>
      <c r="I14" s="12">
        <v>0</v>
      </c>
    </row>
    <row r="15" spans="2:9" ht="15" customHeight="1" x14ac:dyDescent="0.2">
      <c r="B15" t="s">
        <v>85</v>
      </c>
      <c r="C15" s="12">
        <v>278</v>
      </c>
      <c r="D15" s="8">
        <v>14.83</v>
      </c>
      <c r="E15" s="12">
        <v>244</v>
      </c>
      <c r="F15" s="8">
        <v>25.6</v>
      </c>
      <c r="G15" s="12">
        <v>34</v>
      </c>
      <c r="H15" s="8">
        <v>3.71</v>
      </c>
      <c r="I15" s="12">
        <v>0</v>
      </c>
    </row>
    <row r="16" spans="2:9" ht="15" customHeight="1" x14ac:dyDescent="0.2">
      <c r="B16" t="s">
        <v>86</v>
      </c>
      <c r="C16" s="12">
        <v>161</v>
      </c>
      <c r="D16" s="8">
        <v>8.59</v>
      </c>
      <c r="E16" s="12">
        <v>135</v>
      </c>
      <c r="F16" s="8">
        <v>14.17</v>
      </c>
      <c r="G16" s="12">
        <v>26</v>
      </c>
      <c r="H16" s="8">
        <v>2.84</v>
      </c>
      <c r="I16" s="12">
        <v>0</v>
      </c>
    </row>
    <row r="17" spans="2:9" ht="15" customHeight="1" x14ac:dyDescent="0.2">
      <c r="B17" t="s">
        <v>87</v>
      </c>
      <c r="C17" s="12">
        <v>17</v>
      </c>
      <c r="D17" s="8">
        <v>0.91</v>
      </c>
      <c r="E17" s="12">
        <v>11</v>
      </c>
      <c r="F17" s="8">
        <v>1.1499999999999999</v>
      </c>
      <c r="G17" s="12">
        <v>5</v>
      </c>
      <c r="H17" s="8">
        <v>0.55000000000000004</v>
      </c>
      <c r="I17" s="12">
        <v>0</v>
      </c>
    </row>
    <row r="18" spans="2:9" ht="15" customHeight="1" x14ac:dyDescent="0.2">
      <c r="B18" t="s">
        <v>88</v>
      </c>
      <c r="C18" s="12">
        <v>67</v>
      </c>
      <c r="D18" s="8">
        <v>3.58</v>
      </c>
      <c r="E18" s="12">
        <v>46</v>
      </c>
      <c r="F18" s="8">
        <v>4.83</v>
      </c>
      <c r="G18" s="12">
        <v>19</v>
      </c>
      <c r="H18" s="8">
        <v>2.0699999999999998</v>
      </c>
      <c r="I18" s="12">
        <v>2</v>
      </c>
    </row>
    <row r="19" spans="2:9" ht="15" customHeight="1" x14ac:dyDescent="0.2">
      <c r="B19" t="s">
        <v>89</v>
      </c>
      <c r="C19" s="12">
        <v>65</v>
      </c>
      <c r="D19" s="8">
        <v>3.47</v>
      </c>
      <c r="E19" s="12">
        <v>26</v>
      </c>
      <c r="F19" s="8">
        <v>2.73</v>
      </c>
      <c r="G19" s="12">
        <v>39</v>
      </c>
      <c r="H19" s="8">
        <v>4.25</v>
      </c>
      <c r="I19" s="12">
        <v>0</v>
      </c>
    </row>
    <row r="20" spans="2:9" ht="15" customHeight="1" x14ac:dyDescent="0.2">
      <c r="B20" s="9" t="s">
        <v>271</v>
      </c>
      <c r="C20" s="12">
        <f>SUM(LTBL_27108[総数／事業所数])</f>
        <v>1874</v>
      </c>
      <c r="E20" s="12">
        <f>SUBTOTAL(109,LTBL_27108[個人／事業所数])</f>
        <v>953</v>
      </c>
      <c r="G20" s="12">
        <f>SUBTOTAL(109,LTBL_27108[法人／事業所数])</f>
        <v>917</v>
      </c>
      <c r="I20" s="12">
        <f>SUBTOTAL(109,LTBL_27108[法人以外の団体／事業所数])</f>
        <v>2</v>
      </c>
    </row>
    <row r="21" spans="2:9" ht="15" customHeight="1" x14ac:dyDescent="0.2">
      <c r="E21" s="11">
        <f>LTBL_27108[[#Totals],[個人／事業所数]]/LTBL_27108[[#Totals],[総数／事業所数]]</f>
        <v>0.50853788687299895</v>
      </c>
      <c r="G21" s="11">
        <f>LTBL_27108[[#Totals],[法人／事業所数]]/LTBL_27108[[#Totals],[総数／事業所数]]</f>
        <v>0.48932764140875135</v>
      </c>
      <c r="I21" s="11">
        <f>LTBL_27108[[#Totals],[法人以外の団体／事業所数]]/LTBL_27108[[#Totals],[総数／事業所数]]</f>
        <v>1.0672358591248667E-3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113</v>
      </c>
      <c r="C24" s="12">
        <v>255</v>
      </c>
      <c r="D24" s="8">
        <v>13.61</v>
      </c>
      <c r="E24" s="12">
        <v>236</v>
      </c>
      <c r="F24" s="8">
        <v>24.76</v>
      </c>
      <c r="G24" s="12">
        <v>19</v>
      </c>
      <c r="H24" s="8">
        <v>2.0699999999999998</v>
      </c>
      <c r="I24" s="12">
        <v>0</v>
      </c>
    </row>
    <row r="25" spans="2:9" ht="15" customHeight="1" x14ac:dyDescent="0.2">
      <c r="B25" t="s">
        <v>110</v>
      </c>
      <c r="C25" s="12">
        <v>144</v>
      </c>
      <c r="D25" s="8">
        <v>7.68</v>
      </c>
      <c r="E25" s="12">
        <v>61</v>
      </c>
      <c r="F25" s="8">
        <v>6.4</v>
      </c>
      <c r="G25" s="12">
        <v>83</v>
      </c>
      <c r="H25" s="8">
        <v>9.0500000000000007</v>
      </c>
      <c r="I25" s="12">
        <v>0</v>
      </c>
    </row>
    <row r="26" spans="2:9" ht="15" customHeight="1" x14ac:dyDescent="0.2">
      <c r="B26" t="s">
        <v>114</v>
      </c>
      <c r="C26" s="12">
        <v>137</v>
      </c>
      <c r="D26" s="8">
        <v>7.31</v>
      </c>
      <c r="E26" s="12">
        <v>120</v>
      </c>
      <c r="F26" s="8">
        <v>12.59</v>
      </c>
      <c r="G26" s="12">
        <v>17</v>
      </c>
      <c r="H26" s="8">
        <v>1.85</v>
      </c>
      <c r="I26" s="12">
        <v>0</v>
      </c>
    </row>
    <row r="27" spans="2:9" ht="15" customHeight="1" x14ac:dyDescent="0.2">
      <c r="B27" t="s">
        <v>108</v>
      </c>
      <c r="C27" s="12">
        <v>103</v>
      </c>
      <c r="D27" s="8">
        <v>5.5</v>
      </c>
      <c r="E27" s="12">
        <v>70</v>
      </c>
      <c r="F27" s="8">
        <v>7.35</v>
      </c>
      <c r="G27" s="12">
        <v>33</v>
      </c>
      <c r="H27" s="8">
        <v>3.6</v>
      </c>
      <c r="I27" s="12">
        <v>0</v>
      </c>
    </row>
    <row r="28" spans="2:9" ht="15" customHeight="1" x14ac:dyDescent="0.2">
      <c r="B28" t="s">
        <v>106</v>
      </c>
      <c r="C28" s="12">
        <v>92</v>
      </c>
      <c r="D28" s="8">
        <v>4.91</v>
      </c>
      <c r="E28" s="12">
        <v>75</v>
      </c>
      <c r="F28" s="8">
        <v>7.87</v>
      </c>
      <c r="G28" s="12">
        <v>17</v>
      </c>
      <c r="H28" s="8">
        <v>1.85</v>
      </c>
      <c r="I28" s="12">
        <v>0</v>
      </c>
    </row>
    <row r="29" spans="2:9" ht="15" customHeight="1" x14ac:dyDescent="0.2">
      <c r="B29" t="s">
        <v>101</v>
      </c>
      <c r="C29" s="12">
        <v>87</v>
      </c>
      <c r="D29" s="8">
        <v>4.6399999999999997</v>
      </c>
      <c r="E29" s="12">
        <v>32</v>
      </c>
      <c r="F29" s="8">
        <v>3.36</v>
      </c>
      <c r="G29" s="12">
        <v>55</v>
      </c>
      <c r="H29" s="8">
        <v>6</v>
      </c>
      <c r="I29" s="12">
        <v>0</v>
      </c>
    </row>
    <row r="30" spans="2:9" ht="15" customHeight="1" x14ac:dyDescent="0.2">
      <c r="B30" t="s">
        <v>100</v>
      </c>
      <c r="C30" s="12">
        <v>85</v>
      </c>
      <c r="D30" s="8">
        <v>4.54</v>
      </c>
      <c r="E30" s="12">
        <v>22</v>
      </c>
      <c r="F30" s="8">
        <v>2.31</v>
      </c>
      <c r="G30" s="12">
        <v>63</v>
      </c>
      <c r="H30" s="8">
        <v>6.87</v>
      </c>
      <c r="I30" s="12">
        <v>0</v>
      </c>
    </row>
    <row r="31" spans="2:9" ht="15" customHeight="1" x14ac:dyDescent="0.2">
      <c r="B31" t="s">
        <v>98</v>
      </c>
      <c r="C31" s="12">
        <v>72</v>
      </c>
      <c r="D31" s="8">
        <v>3.84</v>
      </c>
      <c r="E31" s="12">
        <v>10</v>
      </c>
      <c r="F31" s="8">
        <v>1.05</v>
      </c>
      <c r="G31" s="12">
        <v>62</v>
      </c>
      <c r="H31" s="8">
        <v>6.76</v>
      </c>
      <c r="I31" s="12">
        <v>0</v>
      </c>
    </row>
    <row r="32" spans="2:9" ht="15" customHeight="1" x14ac:dyDescent="0.2">
      <c r="B32" t="s">
        <v>99</v>
      </c>
      <c r="C32" s="12">
        <v>61</v>
      </c>
      <c r="D32" s="8">
        <v>3.26</v>
      </c>
      <c r="E32" s="12">
        <v>12</v>
      </c>
      <c r="F32" s="8">
        <v>1.26</v>
      </c>
      <c r="G32" s="12">
        <v>49</v>
      </c>
      <c r="H32" s="8">
        <v>5.34</v>
      </c>
      <c r="I32" s="12">
        <v>0</v>
      </c>
    </row>
    <row r="33" spans="2:9" ht="15" customHeight="1" x14ac:dyDescent="0.2">
      <c r="B33" t="s">
        <v>102</v>
      </c>
      <c r="C33" s="12">
        <v>56</v>
      </c>
      <c r="D33" s="8">
        <v>2.99</v>
      </c>
      <c r="E33" s="12">
        <v>13</v>
      </c>
      <c r="F33" s="8">
        <v>1.36</v>
      </c>
      <c r="G33" s="12">
        <v>43</v>
      </c>
      <c r="H33" s="8">
        <v>4.6900000000000004</v>
      </c>
      <c r="I33" s="12">
        <v>0</v>
      </c>
    </row>
    <row r="34" spans="2:9" ht="15" customHeight="1" x14ac:dyDescent="0.2">
      <c r="B34" t="s">
        <v>116</v>
      </c>
      <c r="C34" s="12">
        <v>52</v>
      </c>
      <c r="D34" s="8">
        <v>2.77</v>
      </c>
      <c r="E34" s="12">
        <v>46</v>
      </c>
      <c r="F34" s="8">
        <v>4.83</v>
      </c>
      <c r="G34" s="12">
        <v>6</v>
      </c>
      <c r="H34" s="8">
        <v>0.65</v>
      </c>
      <c r="I34" s="12">
        <v>0</v>
      </c>
    </row>
    <row r="35" spans="2:9" ht="15" customHeight="1" x14ac:dyDescent="0.2">
      <c r="B35" t="s">
        <v>105</v>
      </c>
      <c r="C35" s="12">
        <v>43</v>
      </c>
      <c r="D35" s="8">
        <v>2.29</v>
      </c>
      <c r="E35" s="12">
        <v>37</v>
      </c>
      <c r="F35" s="8">
        <v>3.88</v>
      </c>
      <c r="G35" s="12">
        <v>6</v>
      </c>
      <c r="H35" s="8">
        <v>0.65</v>
      </c>
      <c r="I35" s="12">
        <v>0</v>
      </c>
    </row>
    <row r="36" spans="2:9" ht="15" customHeight="1" x14ac:dyDescent="0.2">
      <c r="B36" t="s">
        <v>107</v>
      </c>
      <c r="C36" s="12">
        <v>43</v>
      </c>
      <c r="D36" s="8">
        <v>2.29</v>
      </c>
      <c r="E36" s="12">
        <v>24</v>
      </c>
      <c r="F36" s="8">
        <v>2.52</v>
      </c>
      <c r="G36" s="12">
        <v>19</v>
      </c>
      <c r="H36" s="8">
        <v>2.0699999999999998</v>
      </c>
      <c r="I36" s="12">
        <v>0</v>
      </c>
    </row>
    <row r="37" spans="2:9" ht="15" customHeight="1" x14ac:dyDescent="0.2">
      <c r="B37" t="s">
        <v>127</v>
      </c>
      <c r="C37" s="12">
        <v>39</v>
      </c>
      <c r="D37" s="8">
        <v>2.08</v>
      </c>
      <c r="E37" s="12">
        <v>12</v>
      </c>
      <c r="F37" s="8">
        <v>1.26</v>
      </c>
      <c r="G37" s="12">
        <v>27</v>
      </c>
      <c r="H37" s="8">
        <v>2.94</v>
      </c>
      <c r="I37" s="12">
        <v>0</v>
      </c>
    </row>
    <row r="38" spans="2:9" ht="15" customHeight="1" x14ac:dyDescent="0.2">
      <c r="B38" t="s">
        <v>126</v>
      </c>
      <c r="C38" s="12">
        <v>37</v>
      </c>
      <c r="D38" s="8">
        <v>1.97</v>
      </c>
      <c r="E38" s="12">
        <v>13</v>
      </c>
      <c r="F38" s="8">
        <v>1.36</v>
      </c>
      <c r="G38" s="12">
        <v>24</v>
      </c>
      <c r="H38" s="8">
        <v>2.62</v>
      </c>
      <c r="I38" s="12">
        <v>0</v>
      </c>
    </row>
    <row r="39" spans="2:9" ht="15" customHeight="1" x14ac:dyDescent="0.2">
      <c r="B39" t="s">
        <v>103</v>
      </c>
      <c r="C39" s="12">
        <v>37</v>
      </c>
      <c r="D39" s="8">
        <v>1.97</v>
      </c>
      <c r="E39" s="12">
        <v>9</v>
      </c>
      <c r="F39" s="8">
        <v>0.94</v>
      </c>
      <c r="G39" s="12">
        <v>28</v>
      </c>
      <c r="H39" s="8">
        <v>3.05</v>
      </c>
      <c r="I39" s="12">
        <v>0</v>
      </c>
    </row>
    <row r="40" spans="2:9" ht="15" customHeight="1" x14ac:dyDescent="0.2">
      <c r="B40" t="s">
        <v>104</v>
      </c>
      <c r="C40" s="12">
        <v>34</v>
      </c>
      <c r="D40" s="8">
        <v>1.81</v>
      </c>
      <c r="E40" s="12">
        <v>10</v>
      </c>
      <c r="F40" s="8">
        <v>1.05</v>
      </c>
      <c r="G40" s="12">
        <v>24</v>
      </c>
      <c r="H40" s="8">
        <v>2.62</v>
      </c>
      <c r="I40" s="12">
        <v>0</v>
      </c>
    </row>
    <row r="41" spans="2:9" ht="15" customHeight="1" x14ac:dyDescent="0.2">
      <c r="B41" t="s">
        <v>128</v>
      </c>
      <c r="C41" s="12">
        <v>31</v>
      </c>
      <c r="D41" s="8">
        <v>1.65</v>
      </c>
      <c r="E41" s="12">
        <v>4</v>
      </c>
      <c r="F41" s="8">
        <v>0.42</v>
      </c>
      <c r="G41" s="12">
        <v>27</v>
      </c>
      <c r="H41" s="8">
        <v>2.94</v>
      </c>
      <c r="I41" s="12">
        <v>0</v>
      </c>
    </row>
    <row r="42" spans="2:9" ht="15" customHeight="1" x14ac:dyDescent="0.2">
      <c r="B42" t="s">
        <v>129</v>
      </c>
      <c r="C42" s="12">
        <v>27</v>
      </c>
      <c r="D42" s="8">
        <v>1.44</v>
      </c>
      <c r="E42" s="12">
        <v>18</v>
      </c>
      <c r="F42" s="8">
        <v>1.89</v>
      </c>
      <c r="G42" s="12">
        <v>9</v>
      </c>
      <c r="H42" s="8">
        <v>0.98</v>
      </c>
      <c r="I42" s="12">
        <v>0</v>
      </c>
    </row>
    <row r="43" spans="2:9" ht="15" customHeight="1" x14ac:dyDescent="0.2">
      <c r="B43" t="s">
        <v>109</v>
      </c>
      <c r="C43" s="12">
        <v>25</v>
      </c>
      <c r="D43" s="8">
        <v>1.33</v>
      </c>
      <c r="E43" s="12">
        <v>6</v>
      </c>
      <c r="F43" s="8">
        <v>0.63</v>
      </c>
      <c r="G43" s="12">
        <v>19</v>
      </c>
      <c r="H43" s="8">
        <v>2.0699999999999998</v>
      </c>
      <c r="I43" s="12">
        <v>0</v>
      </c>
    </row>
    <row r="46" spans="2:9" ht="33" customHeight="1" x14ac:dyDescent="0.2">
      <c r="B46" t="s">
        <v>273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160</v>
      </c>
      <c r="C47" s="12">
        <v>82</v>
      </c>
      <c r="D47" s="8">
        <v>4.38</v>
      </c>
      <c r="E47" s="12">
        <v>40</v>
      </c>
      <c r="F47" s="8">
        <v>4.2</v>
      </c>
      <c r="G47" s="12">
        <v>42</v>
      </c>
      <c r="H47" s="8">
        <v>4.58</v>
      </c>
      <c r="I47" s="12">
        <v>0</v>
      </c>
    </row>
    <row r="48" spans="2:9" ht="15" customHeight="1" x14ac:dyDescent="0.2">
      <c r="B48" t="s">
        <v>167</v>
      </c>
      <c r="C48" s="12">
        <v>63</v>
      </c>
      <c r="D48" s="8">
        <v>3.36</v>
      </c>
      <c r="E48" s="12">
        <v>61</v>
      </c>
      <c r="F48" s="8">
        <v>6.4</v>
      </c>
      <c r="G48" s="12">
        <v>2</v>
      </c>
      <c r="H48" s="8">
        <v>0.22</v>
      </c>
      <c r="I48" s="12">
        <v>0</v>
      </c>
    </row>
    <row r="49" spans="2:9" ht="15" customHeight="1" x14ac:dyDescent="0.2">
      <c r="B49" t="s">
        <v>169</v>
      </c>
      <c r="C49" s="12">
        <v>62</v>
      </c>
      <c r="D49" s="8">
        <v>3.31</v>
      </c>
      <c r="E49" s="12">
        <v>59</v>
      </c>
      <c r="F49" s="8">
        <v>6.19</v>
      </c>
      <c r="G49" s="12">
        <v>3</v>
      </c>
      <c r="H49" s="8">
        <v>0.33</v>
      </c>
      <c r="I49" s="12">
        <v>0</v>
      </c>
    </row>
    <row r="50" spans="2:9" ht="15" customHeight="1" x14ac:dyDescent="0.2">
      <c r="B50" t="s">
        <v>165</v>
      </c>
      <c r="C50" s="12">
        <v>61</v>
      </c>
      <c r="D50" s="8">
        <v>3.26</v>
      </c>
      <c r="E50" s="12">
        <v>59</v>
      </c>
      <c r="F50" s="8">
        <v>6.19</v>
      </c>
      <c r="G50" s="12">
        <v>2</v>
      </c>
      <c r="H50" s="8">
        <v>0.22</v>
      </c>
      <c r="I50" s="12">
        <v>0</v>
      </c>
    </row>
    <row r="51" spans="2:9" ht="15" customHeight="1" x14ac:dyDescent="0.2">
      <c r="B51" t="s">
        <v>168</v>
      </c>
      <c r="C51" s="12">
        <v>45</v>
      </c>
      <c r="D51" s="8">
        <v>2.4</v>
      </c>
      <c r="E51" s="12">
        <v>43</v>
      </c>
      <c r="F51" s="8">
        <v>4.51</v>
      </c>
      <c r="G51" s="12">
        <v>2</v>
      </c>
      <c r="H51" s="8">
        <v>0.22</v>
      </c>
      <c r="I51" s="12">
        <v>0</v>
      </c>
    </row>
    <row r="52" spans="2:9" ht="15" customHeight="1" x14ac:dyDescent="0.2">
      <c r="B52" t="s">
        <v>157</v>
      </c>
      <c r="C52" s="12">
        <v>43</v>
      </c>
      <c r="D52" s="8">
        <v>2.29</v>
      </c>
      <c r="E52" s="12">
        <v>36</v>
      </c>
      <c r="F52" s="8">
        <v>3.78</v>
      </c>
      <c r="G52" s="12">
        <v>7</v>
      </c>
      <c r="H52" s="8">
        <v>0.76</v>
      </c>
      <c r="I52" s="12">
        <v>0</v>
      </c>
    </row>
    <row r="53" spans="2:9" ht="15" customHeight="1" x14ac:dyDescent="0.2">
      <c r="B53" t="s">
        <v>164</v>
      </c>
      <c r="C53" s="12">
        <v>41</v>
      </c>
      <c r="D53" s="8">
        <v>2.19</v>
      </c>
      <c r="E53" s="12">
        <v>35</v>
      </c>
      <c r="F53" s="8">
        <v>3.67</v>
      </c>
      <c r="G53" s="12">
        <v>6</v>
      </c>
      <c r="H53" s="8">
        <v>0.65</v>
      </c>
      <c r="I53" s="12">
        <v>0</v>
      </c>
    </row>
    <row r="54" spans="2:9" ht="15" customHeight="1" x14ac:dyDescent="0.2">
      <c r="B54" t="s">
        <v>156</v>
      </c>
      <c r="C54" s="12">
        <v>37</v>
      </c>
      <c r="D54" s="8">
        <v>1.97</v>
      </c>
      <c r="E54" s="12">
        <v>34</v>
      </c>
      <c r="F54" s="8">
        <v>3.57</v>
      </c>
      <c r="G54" s="12">
        <v>3</v>
      </c>
      <c r="H54" s="8">
        <v>0.33</v>
      </c>
      <c r="I54" s="12">
        <v>0</v>
      </c>
    </row>
    <row r="55" spans="2:9" ht="15" customHeight="1" x14ac:dyDescent="0.2">
      <c r="B55" t="s">
        <v>171</v>
      </c>
      <c r="C55" s="12">
        <v>37</v>
      </c>
      <c r="D55" s="8">
        <v>1.97</v>
      </c>
      <c r="E55" s="12">
        <v>32</v>
      </c>
      <c r="F55" s="8">
        <v>3.36</v>
      </c>
      <c r="G55" s="12">
        <v>5</v>
      </c>
      <c r="H55" s="8">
        <v>0.55000000000000004</v>
      </c>
      <c r="I55" s="12">
        <v>0</v>
      </c>
    </row>
    <row r="56" spans="2:9" ht="15" customHeight="1" x14ac:dyDescent="0.2">
      <c r="B56" t="s">
        <v>153</v>
      </c>
      <c r="C56" s="12">
        <v>36</v>
      </c>
      <c r="D56" s="8">
        <v>1.92</v>
      </c>
      <c r="E56" s="12">
        <v>10</v>
      </c>
      <c r="F56" s="8">
        <v>1.05</v>
      </c>
      <c r="G56" s="12">
        <v>26</v>
      </c>
      <c r="H56" s="8">
        <v>2.84</v>
      </c>
      <c r="I56" s="12">
        <v>0</v>
      </c>
    </row>
    <row r="57" spans="2:9" ht="15" customHeight="1" x14ac:dyDescent="0.2">
      <c r="B57" t="s">
        <v>166</v>
      </c>
      <c r="C57" s="12">
        <v>34</v>
      </c>
      <c r="D57" s="8">
        <v>1.81</v>
      </c>
      <c r="E57" s="12">
        <v>34</v>
      </c>
      <c r="F57" s="8">
        <v>3.57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174</v>
      </c>
      <c r="C58" s="12">
        <v>29</v>
      </c>
      <c r="D58" s="8">
        <v>1.55</v>
      </c>
      <c r="E58" s="12">
        <v>10</v>
      </c>
      <c r="F58" s="8">
        <v>1.05</v>
      </c>
      <c r="G58" s="12">
        <v>19</v>
      </c>
      <c r="H58" s="8">
        <v>2.0699999999999998</v>
      </c>
      <c r="I58" s="12">
        <v>0</v>
      </c>
    </row>
    <row r="59" spans="2:9" ht="15" customHeight="1" x14ac:dyDescent="0.2">
      <c r="B59" t="s">
        <v>161</v>
      </c>
      <c r="C59" s="12">
        <v>29</v>
      </c>
      <c r="D59" s="8">
        <v>1.55</v>
      </c>
      <c r="E59" s="12">
        <v>19</v>
      </c>
      <c r="F59" s="8">
        <v>1.99</v>
      </c>
      <c r="G59" s="12">
        <v>10</v>
      </c>
      <c r="H59" s="8">
        <v>1.0900000000000001</v>
      </c>
      <c r="I59" s="12">
        <v>0</v>
      </c>
    </row>
    <row r="60" spans="2:9" ht="15" customHeight="1" x14ac:dyDescent="0.2">
      <c r="B60" t="s">
        <v>154</v>
      </c>
      <c r="C60" s="12">
        <v>27</v>
      </c>
      <c r="D60" s="8">
        <v>1.44</v>
      </c>
      <c r="E60" s="12">
        <v>6</v>
      </c>
      <c r="F60" s="8">
        <v>0.63</v>
      </c>
      <c r="G60" s="12">
        <v>21</v>
      </c>
      <c r="H60" s="8">
        <v>2.29</v>
      </c>
      <c r="I60" s="12">
        <v>0</v>
      </c>
    </row>
    <row r="61" spans="2:9" ht="15" customHeight="1" x14ac:dyDescent="0.2">
      <c r="B61" t="s">
        <v>198</v>
      </c>
      <c r="C61" s="12">
        <v>27</v>
      </c>
      <c r="D61" s="8">
        <v>1.44</v>
      </c>
      <c r="E61" s="12">
        <v>18</v>
      </c>
      <c r="F61" s="8">
        <v>1.89</v>
      </c>
      <c r="G61" s="12">
        <v>9</v>
      </c>
      <c r="H61" s="8">
        <v>0.98</v>
      </c>
      <c r="I61" s="12">
        <v>0</v>
      </c>
    </row>
    <row r="62" spans="2:9" ht="15" customHeight="1" x14ac:dyDescent="0.2">
      <c r="B62" t="s">
        <v>192</v>
      </c>
      <c r="C62" s="12">
        <v>26</v>
      </c>
      <c r="D62" s="8">
        <v>1.39</v>
      </c>
      <c r="E62" s="12">
        <v>10</v>
      </c>
      <c r="F62" s="8">
        <v>1.05</v>
      </c>
      <c r="G62" s="12">
        <v>16</v>
      </c>
      <c r="H62" s="8">
        <v>1.74</v>
      </c>
      <c r="I62" s="12">
        <v>0</v>
      </c>
    </row>
    <row r="63" spans="2:9" ht="15" customHeight="1" x14ac:dyDescent="0.2">
      <c r="B63" t="s">
        <v>152</v>
      </c>
      <c r="C63" s="12">
        <v>25</v>
      </c>
      <c r="D63" s="8">
        <v>1.33</v>
      </c>
      <c r="E63" s="12">
        <v>4</v>
      </c>
      <c r="F63" s="8">
        <v>0.42</v>
      </c>
      <c r="G63" s="12">
        <v>21</v>
      </c>
      <c r="H63" s="8">
        <v>2.29</v>
      </c>
      <c r="I63" s="12">
        <v>0</v>
      </c>
    </row>
    <row r="64" spans="2:9" ht="15" customHeight="1" x14ac:dyDescent="0.2">
      <c r="B64" t="s">
        <v>190</v>
      </c>
      <c r="C64" s="12">
        <v>24</v>
      </c>
      <c r="D64" s="8">
        <v>1.28</v>
      </c>
      <c r="E64" s="12">
        <v>3</v>
      </c>
      <c r="F64" s="8">
        <v>0.31</v>
      </c>
      <c r="G64" s="12">
        <v>21</v>
      </c>
      <c r="H64" s="8">
        <v>2.29</v>
      </c>
      <c r="I64" s="12">
        <v>0</v>
      </c>
    </row>
    <row r="65" spans="2:9" ht="15" customHeight="1" x14ac:dyDescent="0.2">
      <c r="B65" t="s">
        <v>197</v>
      </c>
      <c r="C65" s="12">
        <v>23</v>
      </c>
      <c r="D65" s="8">
        <v>1.23</v>
      </c>
      <c r="E65" s="12">
        <v>2</v>
      </c>
      <c r="F65" s="8">
        <v>0.21</v>
      </c>
      <c r="G65" s="12">
        <v>21</v>
      </c>
      <c r="H65" s="8">
        <v>2.29</v>
      </c>
      <c r="I65" s="12">
        <v>0</v>
      </c>
    </row>
    <row r="66" spans="2:9" ht="15" customHeight="1" x14ac:dyDescent="0.2">
      <c r="B66" t="s">
        <v>184</v>
      </c>
      <c r="C66" s="12">
        <v>23</v>
      </c>
      <c r="D66" s="8">
        <v>1.23</v>
      </c>
      <c r="E66" s="12">
        <v>6</v>
      </c>
      <c r="F66" s="8">
        <v>0.63</v>
      </c>
      <c r="G66" s="12">
        <v>17</v>
      </c>
      <c r="H66" s="8">
        <v>1.85</v>
      </c>
      <c r="I66" s="12">
        <v>0</v>
      </c>
    </row>
    <row r="67" spans="2:9" ht="15" customHeight="1" x14ac:dyDescent="0.2">
      <c r="B67" t="s">
        <v>176</v>
      </c>
      <c r="C67" s="12">
        <v>23</v>
      </c>
      <c r="D67" s="8">
        <v>1.23</v>
      </c>
      <c r="E67" s="12">
        <v>11</v>
      </c>
      <c r="F67" s="8">
        <v>1.1499999999999999</v>
      </c>
      <c r="G67" s="12">
        <v>12</v>
      </c>
      <c r="H67" s="8">
        <v>1.31</v>
      </c>
      <c r="I67" s="12">
        <v>0</v>
      </c>
    </row>
    <row r="69" spans="2:9" ht="15" customHeight="1" x14ac:dyDescent="0.2">
      <c r="B69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F34F4-D2AA-440E-A180-18DE75C3ED03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282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140</v>
      </c>
      <c r="D6" s="8">
        <v>4.51</v>
      </c>
      <c r="E6" s="12">
        <v>21</v>
      </c>
      <c r="F6" s="8">
        <v>1.62</v>
      </c>
      <c r="G6" s="12">
        <v>118</v>
      </c>
      <c r="H6" s="8">
        <v>6.55</v>
      </c>
      <c r="I6" s="12">
        <v>1</v>
      </c>
    </row>
    <row r="7" spans="2:9" ht="15" customHeight="1" x14ac:dyDescent="0.2">
      <c r="B7" t="s">
        <v>77</v>
      </c>
      <c r="C7" s="12">
        <v>277</v>
      </c>
      <c r="D7" s="8">
        <v>8.93</v>
      </c>
      <c r="E7" s="12">
        <v>68</v>
      </c>
      <c r="F7" s="8">
        <v>5.26</v>
      </c>
      <c r="G7" s="12">
        <v>209</v>
      </c>
      <c r="H7" s="8">
        <v>11.6</v>
      </c>
      <c r="I7" s="12">
        <v>0</v>
      </c>
    </row>
    <row r="8" spans="2:9" ht="15" customHeight="1" x14ac:dyDescent="0.2">
      <c r="B8" t="s">
        <v>78</v>
      </c>
      <c r="C8" s="12">
        <v>1</v>
      </c>
      <c r="D8" s="8">
        <v>0.03</v>
      </c>
      <c r="E8" s="12">
        <v>0</v>
      </c>
      <c r="F8" s="8">
        <v>0</v>
      </c>
      <c r="G8" s="12">
        <v>1</v>
      </c>
      <c r="H8" s="8">
        <v>0.06</v>
      </c>
      <c r="I8" s="12">
        <v>0</v>
      </c>
    </row>
    <row r="9" spans="2:9" ht="15" customHeight="1" x14ac:dyDescent="0.2">
      <c r="B9" t="s">
        <v>79</v>
      </c>
      <c r="C9" s="12">
        <v>51</v>
      </c>
      <c r="D9" s="8">
        <v>1.64</v>
      </c>
      <c r="E9" s="12">
        <v>7</v>
      </c>
      <c r="F9" s="8">
        <v>0.54</v>
      </c>
      <c r="G9" s="12">
        <v>44</v>
      </c>
      <c r="H9" s="8">
        <v>2.44</v>
      </c>
      <c r="I9" s="12">
        <v>0</v>
      </c>
    </row>
    <row r="10" spans="2:9" ht="15" customHeight="1" x14ac:dyDescent="0.2">
      <c r="B10" t="s">
        <v>80</v>
      </c>
      <c r="C10" s="12">
        <v>8</v>
      </c>
      <c r="D10" s="8">
        <v>0.26</v>
      </c>
      <c r="E10" s="12">
        <v>0</v>
      </c>
      <c r="F10" s="8">
        <v>0</v>
      </c>
      <c r="G10" s="12">
        <v>7</v>
      </c>
      <c r="H10" s="8">
        <v>0.39</v>
      </c>
      <c r="I10" s="12">
        <v>1</v>
      </c>
    </row>
    <row r="11" spans="2:9" ht="15" customHeight="1" x14ac:dyDescent="0.2">
      <c r="B11" t="s">
        <v>81</v>
      </c>
      <c r="C11" s="12">
        <v>786</v>
      </c>
      <c r="D11" s="8">
        <v>25.33</v>
      </c>
      <c r="E11" s="12">
        <v>252</v>
      </c>
      <c r="F11" s="8">
        <v>19.489999999999998</v>
      </c>
      <c r="G11" s="12">
        <v>534</v>
      </c>
      <c r="H11" s="8">
        <v>29.63</v>
      </c>
      <c r="I11" s="12">
        <v>0</v>
      </c>
    </row>
    <row r="12" spans="2:9" ht="15" customHeight="1" x14ac:dyDescent="0.2">
      <c r="B12" t="s">
        <v>82</v>
      </c>
      <c r="C12" s="12">
        <v>18</v>
      </c>
      <c r="D12" s="8">
        <v>0.57999999999999996</v>
      </c>
      <c r="E12" s="12">
        <v>1</v>
      </c>
      <c r="F12" s="8">
        <v>0.08</v>
      </c>
      <c r="G12" s="12">
        <v>17</v>
      </c>
      <c r="H12" s="8">
        <v>0.94</v>
      </c>
      <c r="I12" s="12">
        <v>0</v>
      </c>
    </row>
    <row r="13" spans="2:9" ht="15" customHeight="1" x14ac:dyDescent="0.2">
      <c r="B13" t="s">
        <v>83</v>
      </c>
      <c r="C13" s="12">
        <v>499</v>
      </c>
      <c r="D13" s="8">
        <v>16.079999999999998</v>
      </c>
      <c r="E13" s="12">
        <v>118</v>
      </c>
      <c r="F13" s="8">
        <v>9.1300000000000008</v>
      </c>
      <c r="G13" s="12">
        <v>379</v>
      </c>
      <c r="H13" s="8">
        <v>21.03</v>
      </c>
      <c r="I13" s="12">
        <v>1</v>
      </c>
    </row>
    <row r="14" spans="2:9" ht="15" customHeight="1" x14ac:dyDescent="0.2">
      <c r="B14" t="s">
        <v>84</v>
      </c>
      <c r="C14" s="12">
        <v>410</v>
      </c>
      <c r="D14" s="8">
        <v>13.21</v>
      </c>
      <c r="E14" s="12">
        <v>245</v>
      </c>
      <c r="F14" s="8">
        <v>18.95</v>
      </c>
      <c r="G14" s="12">
        <v>165</v>
      </c>
      <c r="H14" s="8">
        <v>9.16</v>
      </c>
      <c r="I14" s="12">
        <v>0</v>
      </c>
    </row>
    <row r="15" spans="2:9" ht="15" customHeight="1" x14ac:dyDescent="0.2">
      <c r="B15" t="s">
        <v>85</v>
      </c>
      <c r="C15" s="12">
        <v>355</v>
      </c>
      <c r="D15" s="8">
        <v>11.44</v>
      </c>
      <c r="E15" s="12">
        <v>282</v>
      </c>
      <c r="F15" s="8">
        <v>21.81</v>
      </c>
      <c r="G15" s="12">
        <v>73</v>
      </c>
      <c r="H15" s="8">
        <v>4.05</v>
      </c>
      <c r="I15" s="12">
        <v>0</v>
      </c>
    </row>
    <row r="16" spans="2:9" ht="15" customHeight="1" x14ac:dyDescent="0.2">
      <c r="B16" t="s">
        <v>86</v>
      </c>
      <c r="C16" s="12">
        <v>225</v>
      </c>
      <c r="D16" s="8">
        <v>7.25</v>
      </c>
      <c r="E16" s="12">
        <v>122</v>
      </c>
      <c r="F16" s="8">
        <v>9.44</v>
      </c>
      <c r="G16" s="12">
        <v>103</v>
      </c>
      <c r="H16" s="8">
        <v>5.72</v>
      </c>
      <c r="I16" s="12">
        <v>0</v>
      </c>
    </row>
    <row r="17" spans="2:9" ht="15" customHeight="1" x14ac:dyDescent="0.2">
      <c r="B17" t="s">
        <v>87</v>
      </c>
      <c r="C17" s="12">
        <v>122</v>
      </c>
      <c r="D17" s="8">
        <v>3.93</v>
      </c>
      <c r="E17" s="12">
        <v>63</v>
      </c>
      <c r="F17" s="8">
        <v>4.87</v>
      </c>
      <c r="G17" s="12">
        <v>57</v>
      </c>
      <c r="H17" s="8">
        <v>3.16</v>
      </c>
      <c r="I17" s="12">
        <v>1</v>
      </c>
    </row>
    <row r="18" spans="2:9" ht="15" customHeight="1" x14ac:dyDescent="0.2">
      <c r="B18" t="s">
        <v>88</v>
      </c>
      <c r="C18" s="12">
        <v>146</v>
      </c>
      <c r="D18" s="8">
        <v>4.71</v>
      </c>
      <c r="E18" s="12">
        <v>98</v>
      </c>
      <c r="F18" s="8">
        <v>7.58</v>
      </c>
      <c r="G18" s="12">
        <v>47</v>
      </c>
      <c r="H18" s="8">
        <v>2.61</v>
      </c>
      <c r="I18" s="12">
        <v>1</v>
      </c>
    </row>
    <row r="19" spans="2:9" ht="15" customHeight="1" x14ac:dyDescent="0.2">
      <c r="B19" t="s">
        <v>89</v>
      </c>
      <c r="C19" s="12">
        <v>65</v>
      </c>
      <c r="D19" s="8">
        <v>2.09</v>
      </c>
      <c r="E19" s="12">
        <v>16</v>
      </c>
      <c r="F19" s="8">
        <v>1.24</v>
      </c>
      <c r="G19" s="12">
        <v>48</v>
      </c>
      <c r="H19" s="8">
        <v>2.66</v>
      </c>
      <c r="I19" s="12">
        <v>1</v>
      </c>
    </row>
    <row r="20" spans="2:9" ht="15" customHeight="1" x14ac:dyDescent="0.2">
      <c r="B20" s="9" t="s">
        <v>271</v>
      </c>
      <c r="C20" s="12">
        <f>SUM(LTBL_27109[総数／事業所数])</f>
        <v>3103</v>
      </c>
      <c r="E20" s="12">
        <f>SUBTOTAL(109,LTBL_27109[個人／事業所数])</f>
        <v>1293</v>
      </c>
      <c r="G20" s="12">
        <f>SUBTOTAL(109,LTBL_27109[法人／事業所数])</f>
        <v>1802</v>
      </c>
      <c r="I20" s="12">
        <f>SUBTOTAL(109,LTBL_27109[法人以外の団体／事業所数])</f>
        <v>6</v>
      </c>
    </row>
    <row r="21" spans="2:9" ht="15" customHeight="1" x14ac:dyDescent="0.2">
      <c r="E21" s="11">
        <f>LTBL_27109[[#Totals],[個人／事業所数]]/LTBL_27109[[#Totals],[総数／事業所数]]</f>
        <v>0.41669352239767965</v>
      </c>
      <c r="G21" s="11">
        <f>LTBL_27109[[#Totals],[法人／事業所数]]/LTBL_27109[[#Totals],[総数／事業所数]]</f>
        <v>0.58072832742507252</v>
      </c>
      <c r="I21" s="11">
        <f>LTBL_27109[[#Totals],[法人以外の団体／事業所数]]/LTBL_27109[[#Totals],[総数／事業所数]]</f>
        <v>1.9336126329358686E-3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110</v>
      </c>
      <c r="C24" s="12">
        <v>392</v>
      </c>
      <c r="D24" s="8">
        <v>12.63</v>
      </c>
      <c r="E24" s="12">
        <v>108</v>
      </c>
      <c r="F24" s="8">
        <v>8.35</v>
      </c>
      <c r="G24" s="12">
        <v>282</v>
      </c>
      <c r="H24" s="8">
        <v>15.65</v>
      </c>
      <c r="I24" s="12">
        <v>1</v>
      </c>
    </row>
    <row r="25" spans="2:9" ht="15" customHeight="1" x14ac:dyDescent="0.2">
      <c r="B25" t="s">
        <v>113</v>
      </c>
      <c r="C25" s="12">
        <v>326</v>
      </c>
      <c r="D25" s="8">
        <v>10.51</v>
      </c>
      <c r="E25" s="12">
        <v>277</v>
      </c>
      <c r="F25" s="8">
        <v>21.42</v>
      </c>
      <c r="G25" s="12">
        <v>49</v>
      </c>
      <c r="H25" s="8">
        <v>2.72</v>
      </c>
      <c r="I25" s="12">
        <v>0</v>
      </c>
    </row>
    <row r="26" spans="2:9" ht="15" customHeight="1" x14ac:dyDescent="0.2">
      <c r="B26" t="s">
        <v>111</v>
      </c>
      <c r="C26" s="12">
        <v>302</v>
      </c>
      <c r="D26" s="8">
        <v>9.73</v>
      </c>
      <c r="E26" s="12">
        <v>208</v>
      </c>
      <c r="F26" s="8">
        <v>16.09</v>
      </c>
      <c r="G26" s="12">
        <v>94</v>
      </c>
      <c r="H26" s="8">
        <v>5.22</v>
      </c>
      <c r="I26" s="12">
        <v>0</v>
      </c>
    </row>
    <row r="27" spans="2:9" ht="15" customHeight="1" x14ac:dyDescent="0.2">
      <c r="B27" t="s">
        <v>108</v>
      </c>
      <c r="C27" s="12">
        <v>183</v>
      </c>
      <c r="D27" s="8">
        <v>5.9</v>
      </c>
      <c r="E27" s="12">
        <v>98</v>
      </c>
      <c r="F27" s="8">
        <v>7.58</v>
      </c>
      <c r="G27" s="12">
        <v>85</v>
      </c>
      <c r="H27" s="8">
        <v>4.72</v>
      </c>
      <c r="I27" s="12">
        <v>0</v>
      </c>
    </row>
    <row r="28" spans="2:9" ht="15" customHeight="1" x14ac:dyDescent="0.2">
      <c r="B28" t="s">
        <v>114</v>
      </c>
      <c r="C28" s="12">
        <v>158</v>
      </c>
      <c r="D28" s="8">
        <v>5.09</v>
      </c>
      <c r="E28" s="12">
        <v>102</v>
      </c>
      <c r="F28" s="8">
        <v>7.89</v>
      </c>
      <c r="G28" s="12">
        <v>56</v>
      </c>
      <c r="H28" s="8">
        <v>3.11</v>
      </c>
      <c r="I28" s="12">
        <v>0</v>
      </c>
    </row>
    <row r="29" spans="2:9" ht="15" customHeight="1" x14ac:dyDescent="0.2">
      <c r="B29" t="s">
        <v>104</v>
      </c>
      <c r="C29" s="12">
        <v>123</v>
      </c>
      <c r="D29" s="8">
        <v>3.96</v>
      </c>
      <c r="E29" s="12">
        <v>16</v>
      </c>
      <c r="F29" s="8">
        <v>1.24</v>
      </c>
      <c r="G29" s="12">
        <v>107</v>
      </c>
      <c r="H29" s="8">
        <v>5.94</v>
      </c>
      <c r="I29" s="12">
        <v>0</v>
      </c>
    </row>
    <row r="30" spans="2:9" ht="15" customHeight="1" x14ac:dyDescent="0.2">
      <c r="B30" t="s">
        <v>115</v>
      </c>
      <c r="C30" s="12">
        <v>122</v>
      </c>
      <c r="D30" s="8">
        <v>3.93</v>
      </c>
      <c r="E30" s="12">
        <v>63</v>
      </c>
      <c r="F30" s="8">
        <v>4.87</v>
      </c>
      <c r="G30" s="12">
        <v>57</v>
      </c>
      <c r="H30" s="8">
        <v>3.16</v>
      </c>
      <c r="I30" s="12">
        <v>1</v>
      </c>
    </row>
    <row r="31" spans="2:9" ht="15" customHeight="1" x14ac:dyDescent="0.2">
      <c r="B31" t="s">
        <v>116</v>
      </c>
      <c r="C31" s="12">
        <v>121</v>
      </c>
      <c r="D31" s="8">
        <v>3.9</v>
      </c>
      <c r="E31" s="12">
        <v>98</v>
      </c>
      <c r="F31" s="8">
        <v>7.58</v>
      </c>
      <c r="G31" s="12">
        <v>23</v>
      </c>
      <c r="H31" s="8">
        <v>1.28</v>
      </c>
      <c r="I31" s="12">
        <v>0</v>
      </c>
    </row>
    <row r="32" spans="2:9" ht="15" customHeight="1" x14ac:dyDescent="0.2">
      <c r="B32" t="s">
        <v>105</v>
      </c>
      <c r="C32" s="12">
        <v>115</v>
      </c>
      <c r="D32" s="8">
        <v>3.71</v>
      </c>
      <c r="E32" s="12">
        <v>27</v>
      </c>
      <c r="F32" s="8">
        <v>2.09</v>
      </c>
      <c r="G32" s="12">
        <v>88</v>
      </c>
      <c r="H32" s="8">
        <v>4.88</v>
      </c>
      <c r="I32" s="12">
        <v>0</v>
      </c>
    </row>
    <row r="33" spans="2:9" ht="15" customHeight="1" x14ac:dyDescent="0.2">
      <c r="B33" t="s">
        <v>109</v>
      </c>
      <c r="C33" s="12">
        <v>98</v>
      </c>
      <c r="D33" s="8">
        <v>3.16</v>
      </c>
      <c r="E33" s="12">
        <v>9</v>
      </c>
      <c r="F33" s="8">
        <v>0.7</v>
      </c>
      <c r="G33" s="12">
        <v>89</v>
      </c>
      <c r="H33" s="8">
        <v>4.9400000000000004</v>
      </c>
      <c r="I33" s="12">
        <v>0</v>
      </c>
    </row>
    <row r="34" spans="2:9" ht="15" customHeight="1" x14ac:dyDescent="0.2">
      <c r="B34" t="s">
        <v>112</v>
      </c>
      <c r="C34" s="12">
        <v>93</v>
      </c>
      <c r="D34" s="8">
        <v>3</v>
      </c>
      <c r="E34" s="12">
        <v>37</v>
      </c>
      <c r="F34" s="8">
        <v>2.86</v>
      </c>
      <c r="G34" s="12">
        <v>56</v>
      </c>
      <c r="H34" s="8">
        <v>3.11</v>
      </c>
      <c r="I34" s="12">
        <v>0</v>
      </c>
    </row>
    <row r="35" spans="2:9" ht="15" customHeight="1" x14ac:dyDescent="0.2">
      <c r="B35" t="s">
        <v>106</v>
      </c>
      <c r="C35" s="12">
        <v>90</v>
      </c>
      <c r="D35" s="8">
        <v>2.9</v>
      </c>
      <c r="E35" s="12">
        <v>53</v>
      </c>
      <c r="F35" s="8">
        <v>4.0999999999999996</v>
      </c>
      <c r="G35" s="12">
        <v>37</v>
      </c>
      <c r="H35" s="8">
        <v>2.0499999999999998</v>
      </c>
      <c r="I35" s="12">
        <v>0</v>
      </c>
    </row>
    <row r="36" spans="2:9" ht="15" customHeight="1" x14ac:dyDescent="0.2">
      <c r="B36" t="s">
        <v>121</v>
      </c>
      <c r="C36" s="12">
        <v>89</v>
      </c>
      <c r="D36" s="8">
        <v>2.87</v>
      </c>
      <c r="E36" s="12">
        <v>21</v>
      </c>
      <c r="F36" s="8">
        <v>1.62</v>
      </c>
      <c r="G36" s="12">
        <v>68</v>
      </c>
      <c r="H36" s="8">
        <v>3.77</v>
      </c>
      <c r="I36" s="12">
        <v>0</v>
      </c>
    </row>
    <row r="37" spans="2:9" ht="15" customHeight="1" x14ac:dyDescent="0.2">
      <c r="B37" t="s">
        <v>103</v>
      </c>
      <c r="C37" s="12">
        <v>68</v>
      </c>
      <c r="D37" s="8">
        <v>2.19</v>
      </c>
      <c r="E37" s="12">
        <v>9</v>
      </c>
      <c r="F37" s="8">
        <v>0.7</v>
      </c>
      <c r="G37" s="12">
        <v>59</v>
      </c>
      <c r="H37" s="8">
        <v>3.27</v>
      </c>
      <c r="I37" s="12">
        <v>0</v>
      </c>
    </row>
    <row r="38" spans="2:9" ht="15" customHeight="1" x14ac:dyDescent="0.2">
      <c r="B38" t="s">
        <v>98</v>
      </c>
      <c r="C38" s="12">
        <v>61</v>
      </c>
      <c r="D38" s="8">
        <v>1.97</v>
      </c>
      <c r="E38" s="12">
        <v>5</v>
      </c>
      <c r="F38" s="8">
        <v>0.39</v>
      </c>
      <c r="G38" s="12">
        <v>55</v>
      </c>
      <c r="H38" s="8">
        <v>3.05</v>
      </c>
      <c r="I38" s="12">
        <v>1</v>
      </c>
    </row>
    <row r="39" spans="2:9" ht="15" customHeight="1" x14ac:dyDescent="0.2">
      <c r="B39" t="s">
        <v>118</v>
      </c>
      <c r="C39" s="12">
        <v>56</v>
      </c>
      <c r="D39" s="8">
        <v>1.8</v>
      </c>
      <c r="E39" s="12">
        <v>8</v>
      </c>
      <c r="F39" s="8">
        <v>0.62</v>
      </c>
      <c r="G39" s="12">
        <v>48</v>
      </c>
      <c r="H39" s="8">
        <v>2.66</v>
      </c>
      <c r="I39" s="12">
        <v>0</v>
      </c>
    </row>
    <row r="40" spans="2:9" ht="15" customHeight="1" x14ac:dyDescent="0.2">
      <c r="B40" t="s">
        <v>102</v>
      </c>
      <c r="C40" s="12">
        <v>51</v>
      </c>
      <c r="D40" s="8">
        <v>1.64</v>
      </c>
      <c r="E40" s="12">
        <v>10</v>
      </c>
      <c r="F40" s="8">
        <v>0.77</v>
      </c>
      <c r="G40" s="12">
        <v>41</v>
      </c>
      <c r="H40" s="8">
        <v>2.2799999999999998</v>
      </c>
      <c r="I40" s="12">
        <v>0</v>
      </c>
    </row>
    <row r="41" spans="2:9" ht="15" customHeight="1" x14ac:dyDescent="0.2">
      <c r="B41" t="s">
        <v>119</v>
      </c>
      <c r="C41" s="12">
        <v>45</v>
      </c>
      <c r="D41" s="8">
        <v>1.45</v>
      </c>
      <c r="E41" s="12">
        <v>8</v>
      </c>
      <c r="F41" s="8">
        <v>0.62</v>
      </c>
      <c r="G41" s="12">
        <v>36</v>
      </c>
      <c r="H41" s="8">
        <v>2</v>
      </c>
      <c r="I41" s="12">
        <v>1</v>
      </c>
    </row>
    <row r="42" spans="2:9" ht="15" customHeight="1" x14ac:dyDescent="0.2">
      <c r="B42" t="s">
        <v>99</v>
      </c>
      <c r="C42" s="12">
        <v>44</v>
      </c>
      <c r="D42" s="8">
        <v>1.42</v>
      </c>
      <c r="E42" s="12">
        <v>11</v>
      </c>
      <c r="F42" s="8">
        <v>0.85</v>
      </c>
      <c r="G42" s="12">
        <v>33</v>
      </c>
      <c r="H42" s="8">
        <v>1.83</v>
      </c>
      <c r="I42" s="12">
        <v>0</v>
      </c>
    </row>
    <row r="43" spans="2:9" ht="15" customHeight="1" x14ac:dyDescent="0.2">
      <c r="B43" t="s">
        <v>130</v>
      </c>
      <c r="C43" s="12">
        <v>37</v>
      </c>
      <c r="D43" s="8">
        <v>1.19</v>
      </c>
      <c r="E43" s="12">
        <v>12</v>
      </c>
      <c r="F43" s="8">
        <v>0.93</v>
      </c>
      <c r="G43" s="12">
        <v>25</v>
      </c>
      <c r="H43" s="8">
        <v>1.39</v>
      </c>
      <c r="I43" s="12">
        <v>0</v>
      </c>
    </row>
    <row r="46" spans="2:9" ht="33" customHeight="1" x14ac:dyDescent="0.2">
      <c r="B46" t="s">
        <v>273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160</v>
      </c>
      <c r="C47" s="12">
        <v>198</v>
      </c>
      <c r="D47" s="8">
        <v>6.38</v>
      </c>
      <c r="E47" s="12">
        <v>54</v>
      </c>
      <c r="F47" s="8">
        <v>4.18</v>
      </c>
      <c r="G47" s="12">
        <v>144</v>
      </c>
      <c r="H47" s="8">
        <v>7.99</v>
      </c>
      <c r="I47" s="12">
        <v>0</v>
      </c>
    </row>
    <row r="48" spans="2:9" ht="15" customHeight="1" x14ac:dyDescent="0.2">
      <c r="B48" t="s">
        <v>163</v>
      </c>
      <c r="C48" s="12">
        <v>136</v>
      </c>
      <c r="D48" s="8">
        <v>4.38</v>
      </c>
      <c r="E48" s="12">
        <v>134</v>
      </c>
      <c r="F48" s="8">
        <v>10.36</v>
      </c>
      <c r="G48" s="12">
        <v>2</v>
      </c>
      <c r="H48" s="8">
        <v>0.11</v>
      </c>
      <c r="I48" s="12">
        <v>0</v>
      </c>
    </row>
    <row r="49" spans="2:9" ht="15" customHeight="1" x14ac:dyDescent="0.2">
      <c r="B49" t="s">
        <v>159</v>
      </c>
      <c r="C49" s="12">
        <v>97</v>
      </c>
      <c r="D49" s="8">
        <v>3.13</v>
      </c>
      <c r="E49" s="12">
        <v>28</v>
      </c>
      <c r="F49" s="8">
        <v>2.17</v>
      </c>
      <c r="G49" s="12">
        <v>69</v>
      </c>
      <c r="H49" s="8">
        <v>3.83</v>
      </c>
      <c r="I49" s="12">
        <v>0</v>
      </c>
    </row>
    <row r="50" spans="2:9" ht="15" customHeight="1" x14ac:dyDescent="0.2">
      <c r="B50" t="s">
        <v>171</v>
      </c>
      <c r="C50" s="12">
        <v>96</v>
      </c>
      <c r="D50" s="8">
        <v>3.09</v>
      </c>
      <c r="E50" s="12">
        <v>77</v>
      </c>
      <c r="F50" s="8">
        <v>5.96</v>
      </c>
      <c r="G50" s="12">
        <v>19</v>
      </c>
      <c r="H50" s="8">
        <v>1.05</v>
      </c>
      <c r="I50" s="12">
        <v>0</v>
      </c>
    </row>
    <row r="51" spans="2:9" ht="15" customHeight="1" x14ac:dyDescent="0.2">
      <c r="B51" t="s">
        <v>164</v>
      </c>
      <c r="C51" s="12">
        <v>92</v>
      </c>
      <c r="D51" s="8">
        <v>2.96</v>
      </c>
      <c r="E51" s="12">
        <v>71</v>
      </c>
      <c r="F51" s="8">
        <v>5.49</v>
      </c>
      <c r="G51" s="12">
        <v>21</v>
      </c>
      <c r="H51" s="8">
        <v>1.17</v>
      </c>
      <c r="I51" s="12">
        <v>0</v>
      </c>
    </row>
    <row r="52" spans="2:9" ht="15" customHeight="1" x14ac:dyDescent="0.2">
      <c r="B52" t="s">
        <v>169</v>
      </c>
      <c r="C52" s="12">
        <v>78</v>
      </c>
      <c r="D52" s="8">
        <v>2.5099999999999998</v>
      </c>
      <c r="E52" s="12">
        <v>53</v>
      </c>
      <c r="F52" s="8">
        <v>4.0999999999999996</v>
      </c>
      <c r="G52" s="12">
        <v>25</v>
      </c>
      <c r="H52" s="8">
        <v>1.39</v>
      </c>
      <c r="I52" s="12">
        <v>0</v>
      </c>
    </row>
    <row r="53" spans="2:9" ht="15" customHeight="1" x14ac:dyDescent="0.2">
      <c r="B53" t="s">
        <v>154</v>
      </c>
      <c r="C53" s="12">
        <v>77</v>
      </c>
      <c r="D53" s="8">
        <v>2.48</v>
      </c>
      <c r="E53" s="12">
        <v>11</v>
      </c>
      <c r="F53" s="8">
        <v>0.85</v>
      </c>
      <c r="G53" s="12">
        <v>66</v>
      </c>
      <c r="H53" s="8">
        <v>3.66</v>
      </c>
      <c r="I53" s="12">
        <v>0</v>
      </c>
    </row>
    <row r="54" spans="2:9" ht="15" customHeight="1" x14ac:dyDescent="0.2">
      <c r="B54" t="s">
        <v>175</v>
      </c>
      <c r="C54" s="12">
        <v>73</v>
      </c>
      <c r="D54" s="8">
        <v>2.35</v>
      </c>
      <c r="E54" s="12">
        <v>18</v>
      </c>
      <c r="F54" s="8">
        <v>1.39</v>
      </c>
      <c r="G54" s="12">
        <v>55</v>
      </c>
      <c r="H54" s="8">
        <v>3.05</v>
      </c>
      <c r="I54" s="12">
        <v>0</v>
      </c>
    </row>
    <row r="55" spans="2:9" ht="15" customHeight="1" x14ac:dyDescent="0.2">
      <c r="B55" t="s">
        <v>157</v>
      </c>
      <c r="C55" s="12">
        <v>69</v>
      </c>
      <c r="D55" s="8">
        <v>2.2200000000000002</v>
      </c>
      <c r="E55" s="12">
        <v>46</v>
      </c>
      <c r="F55" s="8">
        <v>3.56</v>
      </c>
      <c r="G55" s="12">
        <v>23</v>
      </c>
      <c r="H55" s="8">
        <v>1.28</v>
      </c>
      <c r="I55" s="12">
        <v>0</v>
      </c>
    </row>
    <row r="56" spans="2:9" ht="15" customHeight="1" x14ac:dyDescent="0.2">
      <c r="B56" t="s">
        <v>165</v>
      </c>
      <c r="C56" s="12">
        <v>68</v>
      </c>
      <c r="D56" s="8">
        <v>2.19</v>
      </c>
      <c r="E56" s="12">
        <v>60</v>
      </c>
      <c r="F56" s="8">
        <v>4.6399999999999997</v>
      </c>
      <c r="G56" s="12">
        <v>8</v>
      </c>
      <c r="H56" s="8">
        <v>0.44</v>
      </c>
      <c r="I56" s="12">
        <v>0</v>
      </c>
    </row>
    <row r="57" spans="2:9" ht="15" customHeight="1" x14ac:dyDescent="0.2">
      <c r="B57" t="s">
        <v>155</v>
      </c>
      <c r="C57" s="12">
        <v>67</v>
      </c>
      <c r="D57" s="8">
        <v>2.16</v>
      </c>
      <c r="E57" s="12">
        <v>17</v>
      </c>
      <c r="F57" s="8">
        <v>1.31</v>
      </c>
      <c r="G57" s="12">
        <v>50</v>
      </c>
      <c r="H57" s="8">
        <v>2.77</v>
      </c>
      <c r="I57" s="12">
        <v>0</v>
      </c>
    </row>
    <row r="58" spans="2:9" ht="15" customHeight="1" x14ac:dyDescent="0.2">
      <c r="B58" t="s">
        <v>158</v>
      </c>
      <c r="C58" s="12">
        <v>67</v>
      </c>
      <c r="D58" s="8">
        <v>2.16</v>
      </c>
      <c r="E58" s="12">
        <v>8</v>
      </c>
      <c r="F58" s="8">
        <v>0.62</v>
      </c>
      <c r="G58" s="12">
        <v>59</v>
      </c>
      <c r="H58" s="8">
        <v>3.27</v>
      </c>
      <c r="I58" s="12">
        <v>0</v>
      </c>
    </row>
    <row r="59" spans="2:9" ht="15" customHeight="1" x14ac:dyDescent="0.2">
      <c r="B59" t="s">
        <v>170</v>
      </c>
      <c r="C59" s="12">
        <v>67</v>
      </c>
      <c r="D59" s="8">
        <v>2.16</v>
      </c>
      <c r="E59" s="12">
        <v>42</v>
      </c>
      <c r="F59" s="8">
        <v>3.25</v>
      </c>
      <c r="G59" s="12">
        <v>24</v>
      </c>
      <c r="H59" s="8">
        <v>1.33</v>
      </c>
      <c r="I59" s="12">
        <v>1</v>
      </c>
    </row>
    <row r="60" spans="2:9" ht="15" customHeight="1" x14ac:dyDescent="0.2">
      <c r="B60" t="s">
        <v>167</v>
      </c>
      <c r="C60" s="12">
        <v>65</v>
      </c>
      <c r="D60" s="8">
        <v>2.09</v>
      </c>
      <c r="E60" s="12">
        <v>61</v>
      </c>
      <c r="F60" s="8">
        <v>4.72</v>
      </c>
      <c r="G60" s="12">
        <v>4</v>
      </c>
      <c r="H60" s="8">
        <v>0.22</v>
      </c>
      <c r="I60" s="12">
        <v>0</v>
      </c>
    </row>
    <row r="61" spans="2:9" ht="15" customHeight="1" x14ac:dyDescent="0.2">
      <c r="B61" t="s">
        <v>172</v>
      </c>
      <c r="C61" s="12">
        <v>60</v>
      </c>
      <c r="D61" s="8">
        <v>1.93</v>
      </c>
      <c r="E61" s="12">
        <v>22</v>
      </c>
      <c r="F61" s="8">
        <v>1.7</v>
      </c>
      <c r="G61" s="12">
        <v>38</v>
      </c>
      <c r="H61" s="8">
        <v>2.11</v>
      </c>
      <c r="I61" s="12">
        <v>0</v>
      </c>
    </row>
    <row r="62" spans="2:9" ht="15" customHeight="1" x14ac:dyDescent="0.2">
      <c r="B62" t="s">
        <v>162</v>
      </c>
      <c r="C62" s="12">
        <v>58</v>
      </c>
      <c r="D62" s="8">
        <v>1.87</v>
      </c>
      <c r="E62" s="12">
        <v>5</v>
      </c>
      <c r="F62" s="8">
        <v>0.39</v>
      </c>
      <c r="G62" s="12">
        <v>51</v>
      </c>
      <c r="H62" s="8">
        <v>2.83</v>
      </c>
      <c r="I62" s="12">
        <v>1</v>
      </c>
    </row>
    <row r="63" spans="2:9" ht="15" customHeight="1" x14ac:dyDescent="0.2">
      <c r="B63" t="s">
        <v>189</v>
      </c>
      <c r="C63" s="12">
        <v>50</v>
      </c>
      <c r="D63" s="8">
        <v>1.61</v>
      </c>
      <c r="E63" s="12">
        <v>6</v>
      </c>
      <c r="F63" s="8">
        <v>0.46</v>
      </c>
      <c r="G63" s="12">
        <v>44</v>
      </c>
      <c r="H63" s="8">
        <v>2.44</v>
      </c>
      <c r="I63" s="12">
        <v>0</v>
      </c>
    </row>
    <row r="64" spans="2:9" ht="15" customHeight="1" x14ac:dyDescent="0.2">
      <c r="B64" t="s">
        <v>199</v>
      </c>
      <c r="C64" s="12">
        <v>44</v>
      </c>
      <c r="D64" s="8">
        <v>1.42</v>
      </c>
      <c r="E64" s="12">
        <v>20</v>
      </c>
      <c r="F64" s="8">
        <v>1.55</v>
      </c>
      <c r="G64" s="12">
        <v>24</v>
      </c>
      <c r="H64" s="8">
        <v>1.33</v>
      </c>
      <c r="I64" s="12">
        <v>0</v>
      </c>
    </row>
    <row r="65" spans="2:9" ht="15" customHeight="1" x14ac:dyDescent="0.2">
      <c r="B65" t="s">
        <v>188</v>
      </c>
      <c r="C65" s="12">
        <v>40</v>
      </c>
      <c r="D65" s="8">
        <v>1.29</v>
      </c>
      <c r="E65" s="12">
        <v>1</v>
      </c>
      <c r="F65" s="8">
        <v>0.08</v>
      </c>
      <c r="G65" s="12">
        <v>39</v>
      </c>
      <c r="H65" s="8">
        <v>2.16</v>
      </c>
      <c r="I65" s="12">
        <v>0</v>
      </c>
    </row>
    <row r="66" spans="2:9" ht="15" customHeight="1" x14ac:dyDescent="0.2">
      <c r="B66" t="s">
        <v>161</v>
      </c>
      <c r="C66" s="12">
        <v>39</v>
      </c>
      <c r="D66" s="8">
        <v>1.26</v>
      </c>
      <c r="E66" s="12">
        <v>21</v>
      </c>
      <c r="F66" s="8">
        <v>1.62</v>
      </c>
      <c r="G66" s="12">
        <v>18</v>
      </c>
      <c r="H66" s="8">
        <v>1</v>
      </c>
      <c r="I66" s="12">
        <v>0</v>
      </c>
    </row>
    <row r="68" spans="2:9" ht="15" customHeight="1" x14ac:dyDescent="0.2">
      <c r="B68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1D5D8-641A-48AF-9BAF-B381E1136126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283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167</v>
      </c>
      <c r="D6" s="8">
        <v>6.32</v>
      </c>
      <c r="E6" s="12">
        <v>13</v>
      </c>
      <c r="F6" s="8">
        <v>1.25</v>
      </c>
      <c r="G6" s="12">
        <v>154</v>
      </c>
      <c r="H6" s="8">
        <v>9.64</v>
      </c>
      <c r="I6" s="12">
        <v>0</v>
      </c>
    </row>
    <row r="7" spans="2:9" ht="15" customHeight="1" x14ac:dyDescent="0.2">
      <c r="B7" t="s">
        <v>77</v>
      </c>
      <c r="C7" s="12">
        <v>213</v>
      </c>
      <c r="D7" s="8">
        <v>8.06</v>
      </c>
      <c r="E7" s="12">
        <v>73</v>
      </c>
      <c r="F7" s="8">
        <v>7.01</v>
      </c>
      <c r="G7" s="12">
        <v>140</v>
      </c>
      <c r="H7" s="8">
        <v>8.76</v>
      </c>
      <c r="I7" s="12">
        <v>0</v>
      </c>
    </row>
    <row r="8" spans="2:9" ht="15" customHeight="1" x14ac:dyDescent="0.2">
      <c r="B8" t="s">
        <v>78</v>
      </c>
      <c r="C8" s="12">
        <v>1</v>
      </c>
      <c r="D8" s="8">
        <v>0.04</v>
      </c>
      <c r="E8" s="12">
        <v>0</v>
      </c>
      <c r="F8" s="8">
        <v>0</v>
      </c>
      <c r="G8" s="12">
        <v>1</v>
      </c>
      <c r="H8" s="8">
        <v>0.06</v>
      </c>
      <c r="I8" s="12">
        <v>0</v>
      </c>
    </row>
    <row r="9" spans="2:9" ht="15" customHeight="1" x14ac:dyDescent="0.2">
      <c r="B9" t="s">
        <v>79</v>
      </c>
      <c r="C9" s="12">
        <v>39</v>
      </c>
      <c r="D9" s="8">
        <v>1.48</v>
      </c>
      <c r="E9" s="12">
        <v>2</v>
      </c>
      <c r="F9" s="8">
        <v>0.19</v>
      </c>
      <c r="G9" s="12">
        <v>36</v>
      </c>
      <c r="H9" s="8">
        <v>2.25</v>
      </c>
      <c r="I9" s="12">
        <v>1</v>
      </c>
    </row>
    <row r="10" spans="2:9" ht="15" customHeight="1" x14ac:dyDescent="0.2">
      <c r="B10" t="s">
        <v>80</v>
      </c>
      <c r="C10" s="12">
        <v>21</v>
      </c>
      <c r="D10" s="8">
        <v>0.79</v>
      </c>
      <c r="E10" s="12">
        <v>2</v>
      </c>
      <c r="F10" s="8">
        <v>0.19</v>
      </c>
      <c r="G10" s="12">
        <v>19</v>
      </c>
      <c r="H10" s="8">
        <v>1.19</v>
      </c>
      <c r="I10" s="12">
        <v>0</v>
      </c>
    </row>
    <row r="11" spans="2:9" ht="15" customHeight="1" x14ac:dyDescent="0.2">
      <c r="B11" t="s">
        <v>81</v>
      </c>
      <c r="C11" s="12">
        <v>863</v>
      </c>
      <c r="D11" s="8">
        <v>32.64</v>
      </c>
      <c r="E11" s="12">
        <v>301</v>
      </c>
      <c r="F11" s="8">
        <v>28.89</v>
      </c>
      <c r="G11" s="12">
        <v>562</v>
      </c>
      <c r="H11" s="8">
        <v>35.17</v>
      </c>
      <c r="I11" s="12">
        <v>0</v>
      </c>
    </row>
    <row r="12" spans="2:9" ht="15" customHeight="1" x14ac:dyDescent="0.2">
      <c r="B12" t="s">
        <v>82</v>
      </c>
      <c r="C12" s="12">
        <v>16</v>
      </c>
      <c r="D12" s="8">
        <v>0.61</v>
      </c>
      <c r="E12" s="12">
        <v>1</v>
      </c>
      <c r="F12" s="8">
        <v>0.1</v>
      </c>
      <c r="G12" s="12">
        <v>15</v>
      </c>
      <c r="H12" s="8">
        <v>0.94</v>
      </c>
      <c r="I12" s="12">
        <v>0</v>
      </c>
    </row>
    <row r="13" spans="2:9" ht="15" customHeight="1" x14ac:dyDescent="0.2">
      <c r="B13" t="s">
        <v>83</v>
      </c>
      <c r="C13" s="12">
        <v>438</v>
      </c>
      <c r="D13" s="8">
        <v>16.57</v>
      </c>
      <c r="E13" s="12">
        <v>96</v>
      </c>
      <c r="F13" s="8">
        <v>9.2100000000000009</v>
      </c>
      <c r="G13" s="12">
        <v>342</v>
      </c>
      <c r="H13" s="8">
        <v>21.4</v>
      </c>
      <c r="I13" s="12">
        <v>0</v>
      </c>
    </row>
    <row r="14" spans="2:9" ht="15" customHeight="1" x14ac:dyDescent="0.2">
      <c r="B14" t="s">
        <v>84</v>
      </c>
      <c r="C14" s="12">
        <v>153</v>
      </c>
      <c r="D14" s="8">
        <v>5.79</v>
      </c>
      <c r="E14" s="12">
        <v>68</v>
      </c>
      <c r="F14" s="8">
        <v>6.53</v>
      </c>
      <c r="G14" s="12">
        <v>85</v>
      </c>
      <c r="H14" s="8">
        <v>5.32</v>
      </c>
      <c r="I14" s="12">
        <v>0</v>
      </c>
    </row>
    <row r="15" spans="2:9" ht="15" customHeight="1" x14ac:dyDescent="0.2">
      <c r="B15" t="s">
        <v>85</v>
      </c>
      <c r="C15" s="12">
        <v>378</v>
      </c>
      <c r="D15" s="8">
        <v>14.3</v>
      </c>
      <c r="E15" s="12">
        <v>302</v>
      </c>
      <c r="F15" s="8">
        <v>28.98</v>
      </c>
      <c r="G15" s="12">
        <v>76</v>
      </c>
      <c r="H15" s="8">
        <v>4.76</v>
      </c>
      <c r="I15" s="12">
        <v>0</v>
      </c>
    </row>
    <row r="16" spans="2:9" ht="15" customHeight="1" x14ac:dyDescent="0.2">
      <c r="B16" t="s">
        <v>86</v>
      </c>
      <c r="C16" s="12">
        <v>156</v>
      </c>
      <c r="D16" s="8">
        <v>5.9</v>
      </c>
      <c r="E16" s="12">
        <v>100</v>
      </c>
      <c r="F16" s="8">
        <v>9.6</v>
      </c>
      <c r="G16" s="12">
        <v>56</v>
      </c>
      <c r="H16" s="8">
        <v>3.5</v>
      </c>
      <c r="I16" s="12">
        <v>0</v>
      </c>
    </row>
    <row r="17" spans="2:9" ht="15" customHeight="1" x14ac:dyDescent="0.2">
      <c r="B17" t="s">
        <v>87</v>
      </c>
      <c r="C17" s="12">
        <v>40</v>
      </c>
      <c r="D17" s="8">
        <v>1.51</v>
      </c>
      <c r="E17" s="12">
        <v>20</v>
      </c>
      <c r="F17" s="8">
        <v>1.92</v>
      </c>
      <c r="G17" s="12">
        <v>18</v>
      </c>
      <c r="H17" s="8">
        <v>1.1299999999999999</v>
      </c>
      <c r="I17" s="12">
        <v>1</v>
      </c>
    </row>
    <row r="18" spans="2:9" ht="15" customHeight="1" x14ac:dyDescent="0.2">
      <c r="B18" t="s">
        <v>88</v>
      </c>
      <c r="C18" s="12">
        <v>81</v>
      </c>
      <c r="D18" s="8">
        <v>3.06</v>
      </c>
      <c r="E18" s="12">
        <v>47</v>
      </c>
      <c r="F18" s="8">
        <v>4.51</v>
      </c>
      <c r="G18" s="12">
        <v>33</v>
      </c>
      <c r="H18" s="8">
        <v>2.0699999999999998</v>
      </c>
      <c r="I18" s="12">
        <v>1</v>
      </c>
    </row>
    <row r="19" spans="2:9" ht="15" customHeight="1" x14ac:dyDescent="0.2">
      <c r="B19" t="s">
        <v>89</v>
      </c>
      <c r="C19" s="12">
        <v>78</v>
      </c>
      <c r="D19" s="8">
        <v>2.95</v>
      </c>
      <c r="E19" s="12">
        <v>17</v>
      </c>
      <c r="F19" s="8">
        <v>1.63</v>
      </c>
      <c r="G19" s="12">
        <v>61</v>
      </c>
      <c r="H19" s="8">
        <v>3.82</v>
      </c>
      <c r="I19" s="12">
        <v>0</v>
      </c>
    </row>
    <row r="20" spans="2:9" ht="15" customHeight="1" x14ac:dyDescent="0.2">
      <c r="B20" s="9" t="s">
        <v>271</v>
      </c>
      <c r="C20" s="12">
        <f>SUM(LTBL_27111[総数／事業所数])</f>
        <v>2644</v>
      </c>
      <c r="E20" s="12">
        <f>SUBTOTAL(109,LTBL_27111[個人／事業所数])</f>
        <v>1042</v>
      </c>
      <c r="G20" s="12">
        <f>SUBTOTAL(109,LTBL_27111[法人／事業所数])</f>
        <v>1598</v>
      </c>
      <c r="I20" s="12">
        <f>SUBTOTAL(109,LTBL_27111[法人以外の団体／事業所数])</f>
        <v>3</v>
      </c>
    </row>
    <row r="21" spans="2:9" ht="15" customHeight="1" x14ac:dyDescent="0.2">
      <c r="E21" s="11">
        <f>LTBL_27111[[#Totals],[個人／事業所数]]/LTBL_27111[[#Totals],[総数／事業所数]]</f>
        <v>0.39409984871406961</v>
      </c>
      <c r="G21" s="11">
        <f>LTBL_27111[[#Totals],[法人／事業所数]]/LTBL_27111[[#Totals],[総数／事業所数]]</f>
        <v>0.60438729198184571</v>
      </c>
      <c r="I21" s="11">
        <f>LTBL_27111[[#Totals],[法人以外の団体／事業所数]]/LTBL_27111[[#Totals],[総数／事業所数]]</f>
        <v>1.1346444780635401E-3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110</v>
      </c>
      <c r="C24" s="12">
        <v>361</v>
      </c>
      <c r="D24" s="8">
        <v>13.65</v>
      </c>
      <c r="E24" s="12">
        <v>87</v>
      </c>
      <c r="F24" s="8">
        <v>8.35</v>
      </c>
      <c r="G24" s="12">
        <v>274</v>
      </c>
      <c r="H24" s="8">
        <v>17.149999999999999</v>
      </c>
      <c r="I24" s="12">
        <v>0</v>
      </c>
    </row>
    <row r="25" spans="2:9" ht="15" customHeight="1" x14ac:dyDescent="0.2">
      <c r="B25" t="s">
        <v>113</v>
      </c>
      <c r="C25" s="12">
        <v>357</v>
      </c>
      <c r="D25" s="8">
        <v>13.5</v>
      </c>
      <c r="E25" s="12">
        <v>296</v>
      </c>
      <c r="F25" s="8">
        <v>28.41</v>
      </c>
      <c r="G25" s="12">
        <v>61</v>
      </c>
      <c r="H25" s="8">
        <v>3.82</v>
      </c>
      <c r="I25" s="12">
        <v>0</v>
      </c>
    </row>
    <row r="26" spans="2:9" ht="15" customHeight="1" x14ac:dyDescent="0.2">
      <c r="B26" t="s">
        <v>108</v>
      </c>
      <c r="C26" s="12">
        <v>171</v>
      </c>
      <c r="D26" s="8">
        <v>6.47</v>
      </c>
      <c r="E26" s="12">
        <v>82</v>
      </c>
      <c r="F26" s="8">
        <v>7.87</v>
      </c>
      <c r="G26" s="12">
        <v>89</v>
      </c>
      <c r="H26" s="8">
        <v>5.57</v>
      </c>
      <c r="I26" s="12">
        <v>0</v>
      </c>
    </row>
    <row r="27" spans="2:9" ht="15" customHeight="1" x14ac:dyDescent="0.2">
      <c r="B27" t="s">
        <v>104</v>
      </c>
      <c r="C27" s="12">
        <v>125</v>
      </c>
      <c r="D27" s="8">
        <v>4.7300000000000004</v>
      </c>
      <c r="E27" s="12">
        <v>29</v>
      </c>
      <c r="F27" s="8">
        <v>2.78</v>
      </c>
      <c r="G27" s="12">
        <v>96</v>
      </c>
      <c r="H27" s="8">
        <v>6.01</v>
      </c>
      <c r="I27" s="12">
        <v>0</v>
      </c>
    </row>
    <row r="28" spans="2:9" ht="15" customHeight="1" x14ac:dyDescent="0.2">
      <c r="B28" t="s">
        <v>122</v>
      </c>
      <c r="C28" s="12">
        <v>117</v>
      </c>
      <c r="D28" s="8">
        <v>4.43</v>
      </c>
      <c r="E28" s="12">
        <v>50</v>
      </c>
      <c r="F28" s="8">
        <v>4.8</v>
      </c>
      <c r="G28" s="12">
        <v>67</v>
      </c>
      <c r="H28" s="8">
        <v>4.1900000000000004</v>
      </c>
      <c r="I28" s="12">
        <v>0</v>
      </c>
    </row>
    <row r="29" spans="2:9" ht="15" customHeight="1" x14ac:dyDescent="0.2">
      <c r="B29" t="s">
        <v>111</v>
      </c>
      <c r="C29" s="12">
        <v>105</v>
      </c>
      <c r="D29" s="8">
        <v>3.97</v>
      </c>
      <c r="E29" s="12">
        <v>55</v>
      </c>
      <c r="F29" s="8">
        <v>5.28</v>
      </c>
      <c r="G29" s="12">
        <v>50</v>
      </c>
      <c r="H29" s="8">
        <v>3.13</v>
      </c>
      <c r="I29" s="12">
        <v>0</v>
      </c>
    </row>
    <row r="30" spans="2:9" ht="15" customHeight="1" x14ac:dyDescent="0.2">
      <c r="B30" t="s">
        <v>114</v>
      </c>
      <c r="C30" s="12">
        <v>102</v>
      </c>
      <c r="D30" s="8">
        <v>3.86</v>
      </c>
      <c r="E30" s="12">
        <v>77</v>
      </c>
      <c r="F30" s="8">
        <v>7.39</v>
      </c>
      <c r="G30" s="12">
        <v>25</v>
      </c>
      <c r="H30" s="8">
        <v>1.56</v>
      </c>
      <c r="I30" s="12">
        <v>0</v>
      </c>
    </row>
    <row r="31" spans="2:9" ht="15" customHeight="1" x14ac:dyDescent="0.2">
      <c r="B31" t="s">
        <v>103</v>
      </c>
      <c r="C31" s="12">
        <v>99</v>
      </c>
      <c r="D31" s="8">
        <v>3.74</v>
      </c>
      <c r="E31" s="12">
        <v>16</v>
      </c>
      <c r="F31" s="8">
        <v>1.54</v>
      </c>
      <c r="G31" s="12">
        <v>83</v>
      </c>
      <c r="H31" s="8">
        <v>5.19</v>
      </c>
      <c r="I31" s="12">
        <v>0</v>
      </c>
    </row>
    <row r="32" spans="2:9" ht="15" customHeight="1" x14ac:dyDescent="0.2">
      <c r="B32" t="s">
        <v>107</v>
      </c>
      <c r="C32" s="12">
        <v>82</v>
      </c>
      <c r="D32" s="8">
        <v>3.1</v>
      </c>
      <c r="E32" s="12">
        <v>34</v>
      </c>
      <c r="F32" s="8">
        <v>3.26</v>
      </c>
      <c r="G32" s="12">
        <v>48</v>
      </c>
      <c r="H32" s="8">
        <v>3</v>
      </c>
      <c r="I32" s="12">
        <v>0</v>
      </c>
    </row>
    <row r="33" spans="2:9" ht="15" customHeight="1" x14ac:dyDescent="0.2">
      <c r="B33" t="s">
        <v>106</v>
      </c>
      <c r="C33" s="12">
        <v>72</v>
      </c>
      <c r="D33" s="8">
        <v>2.72</v>
      </c>
      <c r="E33" s="12">
        <v>48</v>
      </c>
      <c r="F33" s="8">
        <v>4.6100000000000003</v>
      </c>
      <c r="G33" s="12">
        <v>24</v>
      </c>
      <c r="H33" s="8">
        <v>1.5</v>
      </c>
      <c r="I33" s="12">
        <v>0</v>
      </c>
    </row>
    <row r="34" spans="2:9" ht="15" customHeight="1" x14ac:dyDescent="0.2">
      <c r="B34" t="s">
        <v>102</v>
      </c>
      <c r="C34" s="12">
        <v>68</v>
      </c>
      <c r="D34" s="8">
        <v>2.57</v>
      </c>
      <c r="E34" s="12">
        <v>13</v>
      </c>
      <c r="F34" s="8">
        <v>1.25</v>
      </c>
      <c r="G34" s="12">
        <v>55</v>
      </c>
      <c r="H34" s="8">
        <v>3.44</v>
      </c>
      <c r="I34" s="12">
        <v>0</v>
      </c>
    </row>
    <row r="35" spans="2:9" ht="15" customHeight="1" x14ac:dyDescent="0.2">
      <c r="B35" t="s">
        <v>105</v>
      </c>
      <c r="C35" s="12">
        <v>61</v>
      </c>
      <c r="D35" s="8">
        <v>2.31</v>
      </c>
      <c r="E35" s="12">
        <v>20</v>
      </c>
      <c r="F35" s="8">
        <v>1.92</v>
      </c>
      <c r="G35" s="12">
        <v>41</v>
      </c>
      <c r="H35" s="8">
        <v>2.57</v>
      </c>
      <c r="I35" s="12">
        <v>0</v>
      </c>
    </row>
    <row r="36" spans="2:9" ht="15" customHeight="1" x14ac:dyDescent="0.2">
      <c r="B36" t="s">
        <v>109</v>
      </c>
      <c r="C36" s="12">
        <v>61</v>
      </c>
      <c r="D36" s="8">
        <v>2.31</v>
      </c>
      <c r="E36" s="12">
        <v>7</v>
      </c>
      <c r="F36" s="8">
        <v>0.67</v>
      </c>
      <c r="G36" s="12">
        <v>54</v>
      </c>
      <c r="H36" s="8">
        <v>3.38</v>
      </c>
      <c r="I36" s="12">
        <v>0</v>
      </c>
    </row>
    <row r="37" spans="2:9" ht="15" customHeight="1" x14ac:dyDescent="0.2">
      <c r="B37" t="s">
        <v>116</v>
      </c>
      <c r="C37" s="12">
        <v>60</v>
      </c>
      <c r="D37" s="8">
        <v>2.27</v>
      </c>
      <c r="E37" s="12">
        <v>47</v>
      </c>
      <c r="F37" s="8">
        <v>4.51</v>
      </c>
      <c r="G37" s="12">
        <v>13</v>
      </c>
      <c r="H37" s="8">
        <v>0.81</v>
      </c>
      <c r="I37" s="12">
        <v>0</v>
      </c>
    </row>
    <row r="38" spans="2:9" ht="15" customHeight="1" x14ac:dyDescent="0.2">
      <c r="B38" t="s">
        <v>100</v>
      </c>
      <c r="C38" s="12">
        <v>57</v>
      </c>
      <c r="D38" s="8">
        <v>2.16</v>
      </c>
      <c r="E38" s="12">
        <v>4</v>
      </c>
      <c r="F38" s="8">
        <v>0.38</v>
      </c>
      <c r="G38" s="12">
        <v>53</v>
      </c>
      <c r="H38" s="8">
        <v>3.32</v>
      </c>
      <c r="I38" s="12">
        <v>0</v>
      </c>
    </row>
    <row r="39" spans="2:9" ht="15" customHeight="1" x14ac:dyDescent="0.2">
      <c r="B39" t="s">
        <v>98</v>
      </c>
      <c r="C39" s="12">
        <v>55</v>
      </c>
      <c r="D39" s="8">
        <v>2.08</v>
      </c>
      <c r="E39" s="12">
        <v>1</v>
      </c>
      <c r="F39" s="8">
        <v>0.1</v>
      </c>
      <c r="G39" s="12">
        <v>54</v>
      </c>
      <c r="H39" s="8">
        <v>3.38</v>
      </c>
      <c r="I39" s="12">
        <v>0</v>
      </c>
    </row>
    <row r="40" spans="2:9" ht="15" customHeight="1" x14ac:dyDescent="0.2">
      <c r="B40" t="s">
        <v>99</v>
      </c>
      <c r="C40" s="12">
        <v>55</v>
      </c>
      <c r="D40" s="8">
        <v>2.08</v>
      </c>
      <c r="E40" s="12">
        <v>8</v>
      </c>
      <c r="F40" s="8">
        <v>0.77</v>
      </c>
      <c r="G40" s="12">
        <v>47</v>
      </c>
      <c r="H40" s="8">
        <v>2.94</v>
      </c>
      <c r="I40" s="12">
        <v>0</v>
      </c>
    </row>
    <row r="41" spans="2:9" ht="15" customHeight="1" x14ac:dyDescent="0.2">
      <c r="B41" t="s">
        <v>119</v>
      </c>
      <c r="C41" s="12">
        <v>46</v>
      </c>
      <c r="D41" s="8">
        <v>1.74</v>
      </c>
      <c r="E41" s="12">
        <v>2</v>
      </c>
      <c r="F41" s="8">
        <v>0.19</v>
      </c>
      <c r="G41" s="12">
        <v>44</v>
      </c>
      <c r="H41" s="8">
        <v>2.75</v>
      </c>
      <c r="I41" s="12">
        <v>0</v>
      </c>
    </row>
    <row r="42" spans="2:9" ht="15" customHeight="1" x14ac:dyDescent="0.2">
      <c r="B42" t="s">
        <v>112</v>
      </c>
      <c r="C42" s="12">
        <v>42</v>
      </c>
      <c r="D42" s="8">
        <v>1.59</v>
      </c>
      <c r="E42" s="12">
        <v>13</v>
      </c>
      <c r="F42" s="8">
        <v>1.25</v>
      </c>
      <c r="G42" s="12">
        <v>29</v>
      </c>
      <c r="H42" s="8">
        <v>1.81</v>
      </c>
      <c r="I42" s="12">
        <v>0</v>
      </c>
    </row>
    <row r="43" spans="2:9" ht="15" customHeight="1" x14ac:dyDescent="0.2">
      <c r="B43" t="s">
        <v>115</v>
      </c>
      <c r="C43" s="12">
        <v>40</v>
      </c>
      <c r="D43" s="8">
        <v>1.51</v>
      </c>
      <c r="E43" s="12">
        <v>20</v>
      </c>
      <c r="F43" s="8">
        <v>1.92</v>
      </c>
      <c r="G43" s="12">
        <v>18</v>
      </c>
      <c r="H43" s="8">
        <v>1.1299999999999999</v>
      </c>
      <c r="I43" s="12">
        <v>1</v>
      </c>
    </row>
    <row r="46" spans="2:9" ht="33" customHeight="1" x14ac:dyDescent="0.2">
      <c r="B46" t="s">
        <v>273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160</v>
      </c>
      <c r="C47" s="12">
        <v>194</v>
      </c>
      <c r="D47" s="8">
        <v>7.34</v>
      </c>
      <c r="E47" s="12">
        <v>61</v>
      </c>
      <c r="F47" s="8">
        <v>5.85</v>
      </c>
      <c r="G47" s="12">
        <v>133</v>
      </c>
      <c r="H47" s="8">
        <v>8.32</v>
      </c>
      <c r="I47" s="12">
        <v>0</v>
      </c>
    </row>
    <row r="48" spans="2:9" ht="15" customHeight="1" x14ac:dyDescent="0.2">
      <c r="B48" t="s">
        <v>159</v>
      </c>
      <c r="C48" s="12">
        <v>115</v>
      </c>
      <c r="D48" s="8">
        <v>4.3499999999999996</v>
      </c>
      <c r="E48" s="12">
        <v>21</v>
      </c>
      <c r="F48" s="8">
        <v>2.02</v>
      </c>
      <c r="G48" s="12">
        <v>94</v>
      </c>
      <c r="H48" s="8">
        <v>5.88</v>
      </c>
      <c r="I48" s="12">
        <v>0</v>
      </c>
    </row>
    <row r="49" spans="2:9" ht="15" customHeight="1" x14ac:dyDescent="0.2">
      <c r="B49" t="s">
        <v>164</v>
      </c>
      <c r="C49" s="12">
        <v>89</v>
      </c>
      <c r="D49" s="8">
        <v>3.37</v>
      </c>
      <c r="E49" s="12">
        <v>66</v>
      </c>
      <c r="F49" s="8">
        <v>6.33</v>
      </c>
      <c r="G49" s="12">
        <v>23</v>
      </c>
      <c r="H49" s="8">
        <v>1.44</v>
      </c>
      <c r="I49" s="12">
        <v>0</v>
      </c>
    </row>
    <row r="50" spans="2:9" ht="15" customHeight="1" x14ac:dyDescent="0.2">
      <c r="B50" t="s">
        <v>167</v>
      </c>
      <c r="C50" s="12">
        <v>88</v>
      </c>
      <c r="D50" s="8">
        <v>3.33</v>
      </c>
      <c r="E50" s="12">
        <v>80</v>
      </c>
      <c r="F50" s="8">
        <v>7.68</v>
      </c>
      <c r="G50" s="12">
        <v>8</v>
      </c>
      <c r="H50" s="8">
        <v>0.5</v>
      </c>
      <c r="I50" s="12">
        <v>0</v>
      </c>
    </row>
    <row r="51" spans="2:9" ht="15" customHeight="1" x14ac:dyDescent="0.2">
      <c r="B51" t="s">
        <v>154</v>
      </c>
      <c r="C51" s="12">
        <v>85</v>
      </c>
      <c r="D51" s="8">
        <v>3.21</v>
      </c>
      <c r="E51" s="12">
        <v>21</v>
      </c>
      <c r="F51" s="8">
        <v>2.02</v>
      </c>
      <c r="G51" s="12">
        <v>64</v>
      </c>
      <c r="H51" s="8">
        <v>4.01</v>
      </c>
      <c r="I51" s="12">
        <v>0</v>
      </c>
    </row>
    <row r="52" spans="2:9" ht="15" customHeight="1" x14ac:dyDescent="0.2">
      <c r="B52" t="s">
        <v>177</v>
      </c>
      <c r="C52" s="12">
        <v>79</v>
      </c>
      <c r="D52" s="8">
        <v>2.99</v>
      </c>
      <c r="E52" s="12">
        <v>43</v>
      </c>
      <c r="F52" s="8">
        <v>4.13</v>
      </c>
      <c r="G52" s="12">
        <v>36</v>
      </c>
      <c r="H52" s="8">
        <v>2.25</v>
      </c>
      <c r="I52" s="12">
        <v>0</v>
      </c>
    </row>
    <row r="53" spans="2:9" ht="15" customHeight="1" x14ac:dyDescent="0.2">
      <c r="B53" t="s">
        <v>157</v>
      </c>
      <c r="C53" s="12">
        <v>62</v>
      </c>
      <c r="D53" s="8">
        <v>2.34</v>
      </c>
      <c r="E53" s="12">
        <v>39</v>
      </c>
      <c r="F53" s="8">
        <v>3.74</v>
      </c>
      <c r="G53" s="12">
        <v>23</v>
      </c>
      <c r="H53" s="8">
        <v>1.44</v>
      </c>
      <c r="I53" s="12">
        <v>0</v>
      </c>
    </row>
    <row r="54" spans="2:9" ht="15" customHeight="1" x14ac:dyDescent="0.2">
      <c r="B54" t="s">
        <v>165</v>
      </c>
      <c r="C54" s="12">
        <v>61</v>
      </c>
      <c r="D54" s="8">
        <v>2.31</v>
      </c>
      <c r="E54" s="12">
        <v>47</v>
      </c>
      <c r="F54" s="8">
        <v>4.51</v>
      </c>
      <c r="G54" s="12">
        <v>14</v>
      </c>
      <c r="H54" s="8">
        <v>0.88</v>
      </c>
      <c r="I54" s="12">
        <v>0</v>
      </c>
    </row>
    <row r="55" spans="2:9" ht="15" customHeight="1" x14ac:dyDescent="0.2">
      <c r="B55" t="s">
        <v>195</v>
      </c>
      <c r="C55" s="12">
        <v>51</v>
      </c>
      <c r="D55" s="8">
        <v>1.93</v>
      </c>
      <c r="E55" s="12">
        <v>16</v>
      </c>
      <c r="F55" s="8">
        <v>1.54</v>
      </c>
      <c r="G55" s="12">
        <v>35</v>
      </c>
      <c r="H55" s="8">
        <v>2.19</v>
      </c>
      <c r="I55" s="12">
        <v>0</v>
      </c>
    </row>
    <row r="56" spans="2:9" ht="15" customHeight="1" x14ac:dyDescent="0.2">
      <c r="B56" t="s">
        <v>158</v>
      </c>
      <c r="C56" s="12">
        <v>48</v>
      </c>
      <c r="D56" s="8">
        <v>1.82</v>
      </c>
      <c r="E56" s="12">
        <v>7</v>
      </c>
      <c r="F56" s="8">
        <v>0.67</v>
      </c>
      <c r="G56" s="12">
        <v>41</v>
      </c>
      <c r="H56" s="8">
        <v>2.57</v>
      </c>
      <c r="I56" s="12">
        <v>0</v>
      </c>
    </row>
    <row r="57" spans="2:9" ht="15" customHeight="1" x14ac:dyDescent="0.2">
      <c r="B57" t="s">
        <v>179</v>
      </c>
      <c r="C57" s="12">
        <v>45</v>
      </c>
      <c r="D57" s="8">
        <v>1.7</v>
      </c>
      <c r="E57" s="12">
        <v>9</v>
      </c>
      <c r="F57" s="8">
        <v>0.86</v>
      </c>
      <c r="G57" s="12">
        <v>36</v>
      </c>
      <c r="H57" s="8">
        <v>2.25</v>
      </c>
      <c r="I57" s="12">
        <v>0</v>
      </c>
    </row>
    <row r="58" spans="2:9" ht="15" customHeight="1" x14ac:dyDescent="0.2">
      <c r="B58" t="s">
        <v>200</v>
      </c>
      <c r="C58" s="12">
        <v>40</v>
      </c>
      <c r="D58" s="8">
        <v>1.51</v>
      </c>
      <c r="E58" s="12">
        <v>5</v>
      </c>
      <c r="F58" s="8">
        <v>0.48</v>
      </c>
      <c r="G58" s="12">
        <v>35</v>
      </c>
      <c r="H58" s="8">
        <v>2.19</v>
      </c>
      <c r="I58" s="12">
        <v>0</v>
      </c>
    </row>
    <row r="59" spans="2:9" ht="15" customHeight="1" x14ac:dyDescent="0.2">
      <c r="B59" t="s">
        <v>201</v>
      </c>
      <c r="C59" s="12">
        <v>38</v>
      </c>
      <c r="D59" s="8">
        <v>1.44</v>
      </c>
      <c r="E59" s="12">
        <v>14</v>
      </c>
      <c r="F59" s="8">
        <v>1.34</v>
      </c>
      <c r="G59" s="12">
        <v>24</v>
      </c>
      <c r="H59" s="8">
        <v>1.5</v>
      </c>
      <c r="I59" s="12">
        <v>0</v>
      </c>
    </row>
    <row r="60" spans="2:9" ht="15" customHeight="1" x14ac:dyDescent="0.2">
      <c r="B60" t="s">
        <v>169</v>
      </c>
      <c r="C60" s="12">
        <v>38</v>
      </c>
      <c r="D60" s="8">
        <v>1.44</v>
      </c>
      <c r="E60" s="12">
        <v>34</v>
      </c>
      <c r="F60" s="8">
        <v>3.26</v>
      </c>
      <c r="G60" s="12">
        <v>4</v>
      </c>
      <c r="H60" s="8">
        <v>0.25</v>
      </c>
      <c r="I60" s="12">
        <v>0</v>
      </c>
    </row>
    <row r="61" spans="2:9" ht="15" customHeight="1" x14ac:dyDescent="0.2">
      <c r="B61" t="s">
        <v>178</v>
      </c>
      <c r="C61" s="12">
        <v>36</v>
      </c>
      <c r="D61" s="8">
        <v>1.36</v>
      </c>
      <c r="E61" s="12">
        <v>7</v>
      </c>
      <c r="F61" s="8">
        <v>0.67</v>
      </c>
      <c r="G61" s="12">
        <v>29</v>
      </c>
      <c r="H61" s="8">
        <v>1.81</v>
      </c>
      <c r="I61" s="12">
        <v>0</v>
      </c>
    </row>
    <row r="62" spans="2:9" ht="15" customHeight="1" x14ac:dyDescent="0.2">
      <c r="B62" t="s">
        <v>162</v>
      </c>
      <c r="C62" s="12">
        <v>35</v>
      </c>
      <c r="D62" s="8">
        <v>1.32</v>
      </c>
      <c r="E62" s="12">
        <v>2</v>
      </c>
      <c r="F62" s="8">
        <v>0.19</v>
      </c>
      <c r="G62" s="12">
        <v>33</v>
      </c>
      <c r="H62" s="8">
        <v>2.0699999999999998</v>
      </c>
      <c r="I62" s="12">
        <v>0</v>
      </c>
    </row>
    <row r="63" spans="2:9" ht="15" customHeight="1" x14ac:dyDescent="0.2">
      <c r="B63" t="s">
        <v>166</v>
      </c>
      <c r="C63" s="12">
        <v>34</v>
      </c>
      <c r="D63" s="8">
        <v>1.29</v>
      </c>
      <c r="E63" s="12">
        <v>32</v>
      </c>
      <c r="F63" s="8">
        <v>3.07</v>
      </c>
      <c r="G63" s="12">
        <v>2</v>
      </c>
      <c r="H63" s="8">
        <v>0.13</v>
      </c>
      <c r="I63" s="12">
        <v>0</v>
      </c>
    </row>
    <row r="64" spans="2:9" ht="15" customHeight="1" x14ac:dyDescent="0.2">
      <c r="B64" t="s">
        <v>171</v>
      </c>
      <c r="C64" s="12">
        <v>34</v>
      </c>
      <c r="D64" s="8">
        <v>1.29</v>
      </c>
      <c r="E64" s="12">
        <v>27</v>
      </c>
      <c r="F64" s="8">
        <v>2.59</v>
      </c>
      <c r="G64" s="12">
        <v>7</v>
      </c>
      <c r="H64" s="8">
        <v>0.44</v>
      </c>
      <c r="I64" s="12">
        <v>0</v>
      </c>
    </row>
    <row r="65" spans="2:9" ht="15" customHeight="1" x14ac:dyDescent="0.2">
      <c r="B65" t="s">
        <v>152</v>
      </c>
      <c r="C65" s="12">
        <v>33</v>
      </c>
      <c r="D65" s="8">
        <v>1.25</v>
      </c>
      <c r="E65" s="12">
        <v>0</v>
      </c>
      <c r="F65" s="8">
        <v>0</v>
      </c>
      <c r="G65" s="12">
        <v>33</v>
      </c>
      <c r="H65" s="8">
        <v>2.0699999999999998</v>
      </c>
      <c r="I65" s="12">
        <v>0</v>
      </c>
    </row>
    <row r="66" spans="2:9" ht="15" customHeight="1" x14ac:dyDescent="0.2">
      <c r="B66" t="s">
        <v>176</v>
      </c>
      <c r="C66" s="12">
        <v>31</v>
      </c>
      <c r="D66" s="8">
        <v>1.17</v>
      </c>
      <c r="E66" s="12">
        <v>11</v>
      </c>
      <c r="F66" s="8">
        <v>1.06</v>
      </c>
      <c r="G66" s="12">
        <v>20</v>
      </c>
      <c r="H66" s="8">
        <v>1.25</v>
      </c>
      <c r="I66" s="12">
        <v>0</v>
      </c>
    </row>
    <row r="67" spans="2:9" ht="15" customHeight="1" x14ac:dyDescent="0.2">
      <c r="B67" t="s">
        <v>170</v>
      </c>
      <c r="C67" s="12">
        <v>31</v>
      </c>
      <c r="D67" s="8">
        <v>1.17</v>
      </c>
      <c r="E67" s="12">
        <v>18</v>
      </c>
      <c r="F67" s="8">
        <v>1.73</v>
      </c>
      <c r="G67" s="12">
        <v>13</v>
      </c>
      <c r="H67" s="8">
        <v>0.81</v>
      </c>
      <c r="I67" s="12">
        <v>0</v>
      </c>
    </row>
    <row r="69" spans="2:9" ht="15" customHeight="1" x14ac:dyDescent="0.2">
      <c r="B69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EB3FD-9E59-4F71-8404-6F6BAB3C5607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284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257</v>
      </c>
      <c r="D6" s="8">
        <v>11.11</v>
      </c>
      <c r="E6" s="12">
        <v>43</v>
      </c>
      <c r="F6" s="8">
        <v>4.2699999999999996</v>
      </c>
      <c r="G6" s="12">
        <v>214</v>
      </c>
      <c r="H6" s="8">
        <v>16.440000000000001</v>
      </c>
      <c r="I6" s="12">
        <v>0</v>
      </c>
    </row>
    <row r="7" spans="2:9" ht="15" customHeight="1" x14ac:dyDescent="0.2">
      <c r="B7" t="s">
        <v>77</v>
      </c>
      <c r="C7" s="12">
        <v>597</v>
      </c>
      <c r="D7" s="8">
        <v>25.81</v>
      </c>
      <c r="E7" s="12">
        <v>135</v>
      </c>
      <c r="F7" s="8">
        <v>13.41</v>
      </c>
      <c r="G7" s="12">
        <v>462</v>
      </c>
      <c r="H7" s="8">
        <v>35.479999999999997</v>
      </c>
      <c r="I7" s="12">
        <v>0</v>
      </c>
    </row>
    <row r="8" spans="2:9" ht="15" customHeight="1" x14ac:dyDescent="0.2">
      <c r="B8" t="s">
        <v>78</v>
      </c>
      <c r="C8" s="12">
        <v>3</v>
      </c>
      <c r="D8" s="8">
        <v>0.13</v>
      </c>
      <c r="E8" s="12">
        <v>0</v>
      </c>
      <c r="F8" s="8">
        <v>0</v>
      </c>
      <c r="G8" s="12">
        <v>3</v>
      </c>
      <c r="H8" s="8">
        <v>0.23</v>
      </c>
      <c r="I8" s="12">
        <v>0</v>
      </c>
    </row>
    <row r="9" spans="2:9" ht="15" customHeight="1" x14ac:dyDescent="0.2">
      <c r="B9" t="s">
        <v>79</v>
      </c>
      <c r="C9" s="12">
        <v>11</v>
      </c>
      <c r="D9" s="8">
        <v>0.48</v>
      </c>
      <c r="E9" s="12">
        <v>0</v>
      </c>
      <c r="F9" s="8">
        <v>0</v>
      </c>
      <c r="G9" s="12">
        <v>11</v>
      </c>
      <c r="H9" s="8">
        <v>0.84</v>
      </c>
      <c r="I9" s="12">
        <v>0</v>
      </c>
    </row>
    <row r="10" spans="2:9" ht="15" customHeight="1" x14ac:dyDescent="0.2">
      <c r="B10" t="s">
        <v>80</v>
      </c>
      <c r="C10" s="12">
        <v>34</v>
      </c>
      <c r="D10" s="8">
        <v>1.47</v>
      </c>
      <c r="E10" s="12">
        <v>5</v>
      </c>
      <c r="F10" s="8">
        <v>0.5</v>
      </c>
      <c r="G10" s="12">
        <v>29</v>
      </c>
      <c r="H10" s="8">
        <v>2.23</v>
      </c>
      <c r="I10" s="12">
        <v>0</v>
      </c>
    </row>
    <row r="11" spans="2:9" ht="15" customHeight="1" x14ac:dyDescent="0.2">
      <c r="B11" t="s">
        <v>81</v>
      </c>
      <c r="C11" s="12">
        <v>421</v>
      </c>
      <c r="D11" s="8">
        <v>18.2</v>
      </c>
      <c r="E11" s="12">
        <v>215</v>
      </c>
      <c r="F11" s="8">
        <v>21.35</v>
      </c>
      <c r="G11" s="12">
        <v>206</v>
      </c>
      <c r="H11" s="8">
        <v>15.82</v>
      </c>
      <c r="I11" s="12">
        <v>0</v>
      </c>
    </row>
    <row r="12" spans="2:9" ht="15" customHeight="1" x14ac:dyDescent="0.2">
      <c r="B12" t="s">
        <v>82</v>
      </c>
      <c r="C12" s="12">
        <v>6</v>
      </c>
      <c r="D12" s="8">
        <v>0.26</v>
      </c>
      <c r="E12" s="12">
        <v>1</v>
      </c>
      <c r="F12" s="8">
        <v>0.1</v>
      </c>
      <c r="G12" s="12">
        <v>5</v>
      </c>
      <c r="H12" s="8">
        <v>0.38</v>
      </c>
      <c r="I12" s="12">
        <v>0</v>
      </c>
    </row>
    <row r="13" spans="2:9" ht="15" customHeight="1" x14ac:dyDescent="0.2">
      <c r="B13" t="s">
        <v>83</v>
      </c>
      <c r="C13" s="12">
        <v>235</v>
      </c>
      <c r="D13" s="8">
        <v>10.16</v>
      </c>
      <c r="E13" s="12">
        <v>72</v>
      </c>
      <c r="F13" s="8">
        <v>7.15</v>
      </c>
      <c r="G13" s="12">
        <v>162</v>
      </c>
      <c r="H13" s="8">
        <v>12.44</v>
      </c>
      <c r="I13" s="12">
        <v>1</v>
      </c>
    </row>
    <row r="14" spans="2:9" ht="15" customHeight="1" x14ac:dyDescent="0.2">
      <c r="B14" t="s">
        <v>84</v>
      </c>
      <c r="C14" s="12">
        <v>67</v>
      </c>
      <c r="D14" s="8">
        <v>2.9</v>
      </c>
      <c r="E14" s="12">
        <v>25</v>
      </c>
      <c r="F14" s="8">
        <v>2.48</v>
      </c>
      <c r="G14" s="12">
        <v>42</v>
      </c>
      <c r="H14" s="8">
        <v>3.23</v>
      </c>
      <c r="I14" s="12">
        <v>0</v>
      </c>
    </row>
    <row r="15" spans="2:9" ht="15" customHeight="1" x14ac:dyDescent="0.2">
      <c r="B15" t="s">
        <v>85</v>
      </c>
      <c r="C15" s="12">
        <v>259</v>
      </c>
      <c r="D15" s="8">
        <v>11.2</v>
      </c>
      <c r="E15" s="12">
        <v>224</v>
      </c>
      <c r="F15" s="8">
        <v>22.24</v>
      </c>
      <c r="G15" s="12">
        <v>35</v>
      </c>
      <c r="H15" s="8">
        <v>2.69</v>
      </c>
      <c r="I15" s="12">
        <v>0</v>
      </c>
    </row>
    <row r="16" spans="2:9" ht="15" customHeight="1" x14ac:dyDescent="0.2">
      <c r="B16" t="s">
        <v>86</v>
      </c>
      <c r="C16" s="12">
        <v>178</v>
      </c>
      <c r="D16" s="8">
        <v>7.7</v>
      </c>
      <c r="E16" s="12">
        <v>147</v>
      </c>
      <c r="F16" s="8">
        <v>14.6</v>
      </c>
      <c r="G16" s="12">
        <v>31</v>
      </c>
      <c r="H16" s="8">
        <v>2.38</v>
      </c>
      <c r="I16" s="12">
        <v>0</v>
      </c>
    </row>
    <row r="17" spans="2:9" ht="15" customHeight="1" x14ac:dyDescent="0.2">
      <c r="B17" t="s">
        <v>87</v>
      </c>
      <c r="C17" s="12">
        <v>51</v>
      </c>
      <c r="D17" s="8">
        <v>2.2000000000000002</v>
      </c>
      <c r="E17" s="12">
        <v>36</v>
      </c>
      <c r="F17" s="8">
        <v>3.57</v>
      </c>
      <c r="G17" s="12">
        <v>14</v>
      </c>
      <c r="H17" s="8">
        <v>1.08</v>
      </c>
      <c r="I17" s="12">
        <v>0</v>
      </c>
    </row>
    <row r="18" spans="2:9" ht="15" customHeight="1" x14ac:dyDescent="0.2">
      <c r="B18" t="s">
        <v>88</v>
      </c>
      <c r="C18" s="12">
        <v>102</v>
      </c>
      <c r="D18" s="8">
        <v>4.41</v>
      </c>
      <c r="E18" s="12">
        <v>63</v>
      </c>
      <c r="F18" s="8">
        <v>6.26</v>
      </c>
      <c r="G18" s="12">
        <v>38</v>
      </c>
      <c r="H18" s="8">
        <v>2.92</v>
      </c>
      <c r="I18" s="12">
        <v>1</v>
      </c>
    </row>
    <row r="19" spans="2:9" ht="15" customHeight="1" x14ac:dyDescent="0.2">
      <c r="B19" t="s">
        <v>89</v>
      </c>
      <c r="C19" s="12">
        <v>92</v>
      </c>
      <c r="D19" s="8">
        <v>3.98</v>
      </c>
      <c r="E19" s="12">
        <v>41</v>
      </c>
      <c r="F19" s="8">
        <v>4.07</v>
      </c>
      <c r="G19" s="12">
        <v>50</v>
      </c>
      <c r="H19" s="8">
        <v>3.84</v>
      </c>
      <c r="I19" s="12">
        <v>1</v>
      </c>
    </row>
    <row r="20" spans="2:9" ht="15" customHeight="1" x14ac:dyDescent="0.2">
      <c r="B20" s="9" t="s">
        <v>271</v>
      </c>
      <c r="C20" s="12">
        <f>SUM(LTBL_27113[総数／事業所数])</f>
        <v>2313</v>
      </c>
      <c r="E20" s="12">
        <f>SUBTOTAL(109,LTBL_27113[個人／事業所数])</f>
        <v>1007</v>
      </c>
      <c r="G20" s="12">
        <f>SUBTOTAL(109,LTBL_27113[法人／事業所数])</f>
        <v>1302</v>
      </c>
      <c r="I20" s="12">
        <f>SUBTOTAL(109,LTBL_27113[法人以外の団体／事業所数])</f>
        <v>3</v>
      </c>
    </row>
    <row r="21" spans="2:9" ht="15" customHeight="1" x14ac:dyDescent="0.2">
      <c r="E21" s="11">
        <f>LTBL_27113[[#Totals],[個人／事業所数]]/LTBL_27113[[#Totals],[総数／事業所数]]</f>
        <v>0.43536532641591008</v>
      </c>
      <c r="G21" s="11">
        <f>LTBL_27113[[#Totals],[法人／事業所数]]/LTBL_27113[[#Totals],[総数／事業所数]]</f>
        <v>0.562905317769131</v>
      </c>
      <c r="I21" s="11">
        <f>LTBL_27113[[#Totals],[法人以外の団体／事業所数]]/LTBL_27113[[#Totals],[総数／事業所数]]</f>
        <v>1.2970168612191958E-3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113</v>
      </c>
      <c r="C24" s="12">
        <v>235</v>
      </c>
      <c r="D24" s="8">
        <v>10.16</v>
      </c>
      <c r="E24" s="12">
        <v>219</v>
      </c>
      <c r="F24" s="8">
        <v>21.75</v>
      </c>
      <c r="G24" s="12">
        <v>16</v>
      </c>
      <c r="H24" s="8">
        <v>1.23</v>
      </c>
      <c r="I24" s="12">
        <v>0</v>
      </c>
    </row>
    <row r="25" spans="2:9" ht="15" customHeight="1" x14ac:dyDescent="0.2">
      <c r="B25" t="s">
        <v>110</v>
      </c>
      <c r="C25" s="12">
        <v>184</v>
      </c>
      <c r="D25" s="8">
        <v>7.96</v>
      </c>
      <c r="E25" s="12">
        <v>65</v>
      </c>
      <c r="F25" s="8">
        <v>6.45</v>
      </c>
      <c r="G25" s="12">
        <v>118</v>
      </c>
      <c r="H25" s="8">
        <v>9.06</v>
      </c>
      <c r="I25" s="12">
        <v>1</v>
      </c>
    </row>
    <row r="26" spans="2:9" ht="15" customHeight="1" x14ac:dyDescent="0.2">
      <c r="B26" t="s">
        <v>101</v>
      </c>
      <c r="C26" s="12">
        <v>168</v>
      </c>
      <c r="D26" s="8">
        <v>7.26</v>
      </c>
      <c r="E26" s="12">
        <v>51</v>
      </c>
      <c r="F26" s="8">
        <v>5.0599999999999996</v>
      </c>
      <c r="G26" s="12">
        <v>117</v>
      </c>
      <c r="H26" s="8">
        <v>8.99</v>
      </c>
      <c r="I26" s="12">
        <v>0</v>
      </c>
    </row>
    <row r="27" spans="2:9" ht="15" customHeight="1" x14ac:dyDescent="0.2">
      <c r="B27" t="s">
        <v>114</v>
      </c>
      <c r="C27" s="12">
        <v>148</v>
      </c>
      <c r="D27" s="8">
        <v>6.4</v>
      </c>
      <c r="E27" s="12">
        <v>129</v>
      </c>
      <c r="F27" s="8">
        <v>12.81</v>
      </c>
      <c r="G27" s="12">
        <v>19</v>
      </c>
      <c r="H27" s="8">
        <v>1.46</v>
      </c>
      <c r="I27" s="12">
        <v>0</v>
      </c>
    </row>
    <row r="28" spans="2:9" ht="15" customHeight="1" x14ac:dyDescent="0.2">
      <c r="B28" t="s">
        <v>127</v>
      </c>
      <c r="C28" s="12">
        <v>103</v>
      </c>
      <c r="D28" s="8">
        <v>4.45</v>
      </c>
      <c r="E28" s="12">
        <v>14</v>
      </c>
      <c r="F28" s="8">
        <v>1.39</v>
      </c>
      <c r="G28" s="12">
        <v>89</v>
      </c>
      <c r="H28" s="8">
        <v>6.84</v>
      </c>
      <c r="I28" s="12">
        <v>0</v>
      </c>
    </row>
    <row r="29" spans="2:9" ht="15" customHeight="1" x14ac:dyDescent="0.2">
      <c r="B29" t="s">
        <v>100</v>
      </c>
      <c r="C29" s="12">
        <v>98</v>
      </c>
      <c r="D29" s="8">
        <v>4.24</v>
      </c>
      <c r="E29" s="12">
        <v>7</v>
      </c>
      <c r="F29" s="8">
        <v>0.7</v>
      </c>
      <c r="G29" s="12">
        <v>91</v>
      </c>
      <c r="H29" s="8">
        <v>6.99</v>
      </c>
      <c r="I29" s="12">
        <v>0</v>
      </c>
    </row>
    <row r="30" spans="2:9" ht="15" customHeight="1" x14ac:dyDescent="0.2">
      <c r="B30" t="s">
        <v>106</v>
      </c>
      <c r="C30" s="12">
        <v>90</v>
      </c>
      <c r="D30" s="8">
        <v>3.89</v>
      </c>
      <c r="E30" s="12">
        <v>74</v>
      </c>
      <c r="F30" s="8">
        <v>7.35</v>
      </c>
      <c r="G30" s="12">
        <v>16</v>
      </c>
      <c r="H30" s="8">
        <v>1.23</v>
      </c>
      <c r="I30" s="12">
        <v>0</v>
      </c>
    </row>
    <row r="31" spans="2:9" ht="15" customHeight="1" x14ac:dyDescent="0.2">
      <c r="B31" t="s">
        <v>98</v>
      </c>
      <c r="C31" s="12">
        <v>88</v>
      </c>
      <c r="D31" s="8">
        <v>3.8</v>
      </c>
      <c r="E31" s="12">
        <v>19</v>
      </c>
      <c r="F31" s="8">
        <v>1.89</v>
      </c>
      <c r="G31" s="12">
        <v>69</v>
      </c>
      <c r="H31" s="8">
        <v>5.3</v>
      </c>
      <c r="I31" s="12">
        <v>0</v>
      </c>
    </row>
    <row r="32" spans="2:9" ht="15" customHeight="1" x14ac:dyDescent="0.2">
      <c r="B32" t="s">
        <v>108</v>
      </c>
      <c r="C32" s="12">
        <v>83</v>
      </c>
      <c r="D32" s="8">
        <v>3.59</v>
      </c>
      <c r="E32" s="12">
        <v>56</v>
      </c>
      <c r="F32" s="8">
        <v>5.56</v>
      </c>
      <c r="G32" s="12">
        <v>27</v>
      </c>
      <c r="H32" s="8">
        <v>2.0699999999999998</v>
      </c>
      <c r="I32" s="12">
        <v>0</v>
      </c>
    </row>
    <row r="33" spans="2:9" ht="15" customHeight="1" x14ac:dyDescent="0.2">
      <c r="B33" t="s">
        <v>126</v>
      </c>
      <c r="C33" s="12">
        <v>75</v>
      </c>
      <c r="D33" s="8">
        <v>3.24</v>
      </c>
      <c r="E33" s="12">
        <v>23</v>
      </c>
      <c r="F33" s="8">
        <v>2.2799999999999998</v>
      </c>
      <c r="G33" s="12">
        <v>52</v>
      </c>
      <c r="H33" s="8">
        <v>3.99</v>
      </c>
      <c r="I33" s="12">
        <v>0</v>
      </c>
    </row>
    <row r="34" spans="2:9" ht="15" customHeight="1" x14ac:dyDescent="0.2">
      <c r="B34" t="s">
        <v>99</v>
      </c>
      <c r="C34" s="12">
        <v>71</v>
      </c>
      <c r="D34" s="8">
        <v>3.07</v>
      </c>
      <c r="E34" s="12">
        <v>17</v>
      </c>
      <c r="F34" s="8">
        <v>1.69</v>
      </c>
      <c r="G34" s="12">
        <v>54</v>
      </c>
      <c r="H34" s="8">
        <v>4.1500000000000004</v>
      </c>
      <c r="I34" s="12">
        <v>0</v>
      </c>
    </row>
    <row r="35" spans="2:9" ht="15" customHeight="1" x14ac:dyDescent="0.2">
      <c r="B35" t="s">
        <v>116</v>
      </c>
      <c r="C35" s="12">
        <v>70</v>
      </c>
      <c r="D35" s="8">
        <v>3.03</v>
      </c>
      <c r="E35" s="12">
        <v>63</v>
      </c>
      <c r="F35" s="8">
        <v>6.26</v>
      </c>
      <c r="G35" s="12">
        <v>7</v>
      </c>
      <c r="H35" s="8">
        <v>0.54</v>
      </c>
      <c r="I35" s="12">
        <v>0</v>
      </c>
    </row>
    <row r="36" spans="2:9" ht="15" customHeight="1" x14ac:dyDescent="0.2">
      <c r="B36" t="s">
        <v>102</v>
      </c>
      <c r="C36" s="12">
        <v>64</v>
      </c>
      <c r="D36" s="8">
        <v>2.77</v>
      </c>
      <c r="E36" s="12">
        <v>17</v>
      </c>
      <c r="F36" s="8">
        <v>1.69</v>
      </c>
      <c r="G36" s="12">
        <v>47</v>
      </c>
      <c r="H36" s="8">
        <v>3.61</v>
      </c>
      <c r="I36" s="12">
        <v>0</v>
      </c>
    </row>
    <row r="37" spans="2:9" ht="15" customHeight="1" x14ac:dyDescent="0.2">
      <c r="B37" t="s">
        <v>107</v>
      </c>
      <c r="C37" s="12">
        <v>56</v>
      </c>
      <c r="D37" s="8">
        <v>2.42</v>
      </c>
      <c r="E37" s="12">
        <v>32</v>
      </c>
      <c r="F37" s="8">
        <v>3.18</v>
      </c>
      <c r="G37" s="12">
        <v>24</v>
      </c>
      <c r="H37" s="8">
        <v>1.84</v>
      </c>
      <c r="I37" s="12">
        <v>0</v>
      </c>
    </row>
    <row r="38" spans="2:9" ht="15" customHeight="1" x14ac:dyDescent="0.2">
      <c r="B38" t="s">
        <v>103</v>
      </c>
      <c r="C38" s="12">
        <v>55</v>
      </c>
      <c r="D38" s="8">
        <v>2.38</v>
      </c>
      <c r="E38" s="12">
        <v>12</v>
      </c>
      <c r="F38" s="8">
        <v>1.19</v>
      </c>
      <c r="G38" s="12">
        <v>43</v>
      </c>
      <c r="H38" s="8">
        <v>3.3</v>
      </c>
      <c r="I38" s="12">
        <v>0</v>
      </c>
    </row>
    <row r="39" spans="2:9" ht="15" customHeight="1" x14ac:dyDescent="0.2">
      <c r="B39" t="s">
        <v>115</v>
      </c>
      <c r="C39" s="12">
        <v>51</v>
      </c>
      <c r="D39" s="8">
        <v>2.2000000000000002</v>
      </c>
      <c r="E39" s="12">
        <v>36</v>
      </c>
      <c r="F39" s="8">
        <v>3.57</v>
      </c>
      <c r="G39" s="12">
        <v>14</v>
      </c>
      <c r="H39" s="8">
        <v>1.08</v>
      </c>
      <c r="I39" s="12">
        <v>0</v>
      </c>
    </row>
    <row r="40" spans="2:9" ht="15" customHeight="1" x14ac:dyDescent="0.2">
      <c r="B40" t="s">
        <v>128</v>
      </c>
      <c r="C40" s="12">
        <v>37</v>
      </c>
      <c r="D40" s="8">
        <v>1.6</v>
      </c>
      <c r="E40" s="12">
        <v>5</v>
      </c>
      <c r="F40" s="8">
        <v>0.5</v>
      </c>
      <c r="G40" s="12">
        <v>32</v>
      </c>
      <c r="H40" s="8">
        <v>2.46</v>
      </c>
      <c r="I40" s="12">
        <v>0</v>
      </c>
    </row>
    <row r="41" spans="2:9" ht="15" customHeight="1" x14ac:dyDescent="0.2">
      <c r="B41" t="s">
        <v>111</v>
      </c>
      <c r="C41" s="12">
        <v>36</v>
      </c>
      <c r="D41" s="8">
        <v>1.56</v>
      </c>
      <c r="E41" s="12">
        <v>18</v>
      </c>
      <c r="F41" s="8">
        <v>1.79</v>
      </c>
      <c r="G41" s="12">
        <v>18</v>
      </c>
      <c r="H41" s="8">
        <v>1.38</v>
      </c>
      <c r="I41" s="12">
        <v>0</v>
      </c>
    </row>
    <row r="42" spans="2:9" ht="15" customHeight="1" x14ac:dyDescent="0.2">
      <c r="B42" t="s">
        <v>109</v>
      </c>
      <c r="C42" s="12">
        <v>32</v>
      </c>
      <c r="D42" s="8">
        <v>1.38</v>
      </c>
      <c r="E42" s="12">
        <v>6</v>
      </c>
      <c r="F42" s="8">
        <v>0.6</v>
      </c>
      <c r="G42" s="12">
        <v>26</v>
      </c>
      <c r="H42" s="8">
        <v>2</v>
      </c>
      <c r="I42" s="12">
        <v>0</v>
      </c>
    </row>
    <row r="43" spans="2:9" ht="15" customHeight="1" x14ac:dyDescent="0.2">
      <c r="B43" t="s">
        <v>117</v>
      </c>
      <c r="C43" s="12">
        <v>32</v>
      </c>
      <c r="D43" s="8">
        <v>1.38</v>
      </c>
      <c r="E43" s="12">
        <v>0</v>
      </c>
      <c r="F43" s="8">
        <v>0</v>
      </c>
      <c r="G43" s="12">
        <v>31</v>
      </c>
      <c r="H43" s="8">
        <v>2.38</v>
      </c>
      <c r="I43" s="12">
        <v>1</v>
      </c>
    </row>
    <row r="46" spans="2:9" ht="33" customHeight="1" x14ac:dyDescent="0.2">
      <c r="B46" t="s">
        <v>273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160</v>
      </c>
      <c r="C47" s="12">
        <v>116</v>
      </c>
      <c r="D47" s="8">
        <v>5.0199999999999996</v>
      </c>
      <c r="E47" s="12">
        <v>43</v>
      </c>
      <c r="F47" s="8">
        <v>4.2699999999999996</v>
      </c>
      <c r="G47" s="12">
        <v>73</v>
      </c>
      <c r="H47" s="8">
        <v>5.61</v>
      </c>
      <c r="I47" s="12">
        <v>0</v>
      </c>
    </row>
    <row r="48" spans="2:9" ht="15" customHeight="1" x14ac:dyDescent="0.2">
      <c r="B48" t="s">
        <v>169</v>
      </c>
      <c r="C48" s="12">
        <v>71</v>
      </c>
      <c r="D48" s="8">
        <v>3.07</v>
      </c>
      <c r="E48" s="12">
        <v>64</v>
      </c>
      <c r="F48" s="8">
        <v>6.36</v>
      </c>
      <c r="G48" s="12">
        <v>7</v>
      </c>
      <c r="H48" s="8">
        <v>0.54</v>
      </c>
      <c r="I48" s="12">
        <v>0</v>
      </c>
    </row>
    <row r="49" spans="2:9" ht="15" customHeight="1" x14ac:dyDescent="0.2">
      <c r="B49" t="s">
        <v>167</v>
      </c>
      <c r="C49" s="12">
        <v>65</v>
      </c>
      <c r="D49" s="8">
        <v>2.81</v>
      </c>
      <c r="E49" s="12">
        <v>63</v>
      </c>
      <c r="F49" s="8">
        <v>6.26</v>
      </c>
      <c r="G49" s="12">
        <v>2</v>
      </c>
      <c r="H49" s="8">
        <v>0.15</v>
      </c>
      <c r="I49" s="12">
        <v>0</v>
      </c>
    </row>
    <row r="50" spans="2:9" ht="15" customHeight="1" x14ac:dyDescent="0.2">
      <c r="B50" t="s">
        <v>192</v>
      </c>
      <c r="C50" s="12">
        <v>61</v>
      </c>
      <c r="D50" s="8">
        <v>2.64</v>
      </c>
      <c r="E50" s="12">
        <v>18</v>
      </c>
      <c r="F50" s="8">
        <v>1.79</v>
      </c>
      <c r="G50" s="12">
        <v>43</v>
      </c>
      <c r="H50" s="8">
        <v>3.3</v>
      </c>
      <c r="I50" s="12">
        <v>0</v>
      </c>
    </row>
    <row r="51" spans="2:9" ht="15" customHeight="1" x14ac:dyDescent="0.2">
      <c r="B51" t="s">
        <v>165</v>
      </c>
      <c r="C51" s="12">
        <v>58</v>
      </c>
      <c r="D51" s="8">
        <v>2.5099999999999998</v>
      </c>
      <c r="E51" s="12">
        <v>53</v>
      </c>
      <c r="F51" s="8">
        <v>5.26</v>
      </c>
      <c r="G51" s="12">
        <v>5</v>
      </c>
      <c r="H51" s="8">
        <v>0.38</v>
      </c>
      <c r="I51" s="12">
        <v>0</v>
      </c>
    </row>
    <row r="52" spans="2:9" ht="15" customHeight="1" x14ac:dyDescent="0.2">
      <c r="B52" t="s">
        <v>171</v>
      </c>
      <c r="C52" s="12">
        <v>53</v>
      </c>
      <c r="D52" s="8">
        <v>2.29</v>
      </c>
      <c r="E52" s="12">
        <v>48</v>
      </c>
      <c r="F52" s="8">
        <v>4.7699999999999996</v>
      </c>
      <c r="G52" s="12">
        <v>5</v>
      </c>
      <c r="H52" s="8">
        <v>0.38</v>
      </c>
      <c r="I52" s="12">
        <v>0</v>
      </c>
    </row>
    <row r="53" spans="2:9" ht="15" customHeight="1" x14ac:dyDescent="0.2">
      <c r="B53" t="s">
        <v>168</v>
      </c>
      <c r="C53" s="12">
        <v>43</v>
      </c>
      <c r="D53" s="8">
        <v>1.86</v>
      </c>
      <c r="E53" s="12">
        <v>39</v>
      </c>
      <c r="F53" s="8">
        <v>3.87</v>
      </c>
      <c r="G53" s="12">
        <v>4</v>
      </c>
      <c r="H53" s="8">
        <v>0.31</v>
      </c>
      <c r="I53" s="12">
        <v>0</v>
      </c>
    </row>
    <row r="54" spans="2:9" ht="15" customHeight="1" x14ac:dyDescent="0.2">
      <c r="B54" t="s">
        <v>204</v>
      </c>
      <c r="C54" s="12">
        <v>37</v>
      </c>
      <c r="D54" s="8">
        <v>1.6</v>
      </c>
      <c r="E54" s="12">
        <v>4</v>
      </c>
      <c r="F54" s="8">
        <v>0.4</v>
      </c>
      <c r="G54" s="12">
        <v>33</v>
      </c>
      <c r="H54" s="8">
        <v>2.5299999999999998</v>
      </c>
      <c r="I54" s="12">
        <v>0</v>
      </c>
    </row>
    <row r="55" spans="2:9" ht="15" customHeight="1" x14ac:dyDescent="0.2">
      <c r="B55" t="s">
        <v>164</v>
      </c>
      <c r="C55" s="12">
        <v>37</v>
      </c>
      <c r="D55" s="8">
        <v>1.6</v>
      </c>
      <c r="E55" s="12">
        <v>33</v>
      </c>
      <c r="F55" s="8">
        <v>3.28</v>
      </c>
      <c r="G55" s="12">
        <v>4</v>
      </c>
      <c r="H55" s="8">
        <v>0.31</v>
      </c>
      <c r="I55" s="12">
        <v>0</v>
      </c>
    </row>
    <row r="56" spans="2:9" ht="15" customHeight="1" x14ac:dyDescent="0.2">
      <c r="B56" t="s">
        <v>194</v>
      </c>
      <c r="C56" s="12">
        <v>36</v>
      </c>
      <c r="D56" s="8">
        <v>1.56</v>
      </c>
      <c r="E56" s="12">
        <v>30</v>
      </c>
      <c r="F56" s="8">
        <v>2.98</v>
      </c>
      <c r="G56" s="12">
        <v>6</v>
      </c>
      <c r="H56" s="8">
        <v>0.46</v>
      </c>
      <c r="I56" s="12">
        <v>0</v>
      </c>
    </row>
    <row r="57" spans="2:9" ht="15" customHeight="1" x14ac:dyDescent="0.2">
      <c r="B57" t="s">
        <v>193</v>
      </c>
      <c r="C57" s="12">
        <v>34</v>
      </c>
      <c r="D57" s="8">
        <v>1.47</v>
      </c>
      <c r="E57" s="12">
        <v>14</v>
      </c>
      <c r="F57" s="8">
        <v>1.39</v>
      </c>
      <c r="G57" s="12">
        <v>20</v>
      </c>
      <c r="H57" s="8">
        <v>1.54</v>
      </c>
      <c r="I57" s="12">
        <v>0</v>
      </c>
    </row>
    <row r="58" spans="2:9" ht="15" customHeight="1" x14ac:dyDescent="0.2">
      <c r="B58" t="s">
        <v>153</v>
      </c>
      <c r="C58" s="12">
        <v>33</v>
      </c>
      <c r="D58" s="8">
        <v>1.43</v>
      </c>
      <c r="E58" s="12">
        <v>3</v>
      </c>
      <c r="F58" s="8">
        <v>0.3</v>
      </c>
      <c r="G58" s="12">
        <v>30</v>
      </c>
      <c r="H58" s="8">
        <v>2.2999999999999998</v>
      </c>
      <c r="I58" s="12">
        <v>0</v>
      </c>
    </row>
    <row r="59" spans="2:9" ht="15" customHeight="1" x14ac:dyDescent="0.2">
      <c r="B59" t="s">
        <v>157</v>
      </c>
      <c r="C59" s="12">
        <v>33</v>
      </c>
      <c r="D59" s="8">
        <v>1.43</v>
      </c>
      <c r="E59" s="12">
        <v>29</v>
      </c>
      <c r="F59" s="8">
        <v>2.88</v>
      </c>
      <c r="G59" s="12">
        <v>4</v>
      </c>
      <c r="H59" s="8">
        <v>0.31</v>
      </c>
      <c r="I59" s="12">
        <v>0</v>
      </c>
    </row>
    <row r="60" spans="2:9" ht="15" customHeight="1" x14ac:dyDescent="0.2">
      <c r="B60" t="s">
        <v>174</v>
      </c>
      <c r="C60" s="12">
        <v>32</v>
      </c>
      <c r="D60" s="8">
        <v>1.38</v>
      </c>
      <c r="E60" s="12">
        <v>2</v>
      </c>
      <c r="F60" s="8">
        <v>0.2</v>
      </c>
      <c r="G60" s="12">
        <v>30</v>
      </c>
      <c r="H60" s="8">
        <v>2.2999999999999998</v>
      </c>
      <c r="I60" s="12">
        <v>0</v>
      </c>
    </row>
    <row r="61" spans="2:9" ht="15" customHeight="1" x14ac:dyDescent="0.2">
      <c r="B61" t="s">
        <v>190</v>
      </c>
      <c r="C61" s="12">
        <v>30</v>
      </c>
      <c r="D61" s="8">
        <v>1.3</v>
      </c>
      <c r="E61" s="12">
        <v>6</v>
      </c>
      <c r="F61" s="8">
        <v>0.6</v>
      </c>
      <c r="G61" s="12">
        <v>24</v>
      </c>
      <c r="H61" s="8">
        <v>1.84</v>
      </c>
      <c r="I61" s="12">
        <v>0</v>
      </c>
    </row>
    <row r="62" spans="2:9" ht="15" customHeight="1" x14ac:dyDescent="0.2">
      <c r="B62" t="s">
        <v>203</v>
      </c>
      <c r="C62" s="12">
        <v>30</v>
      </c>
      <c r="D62" s="8">
        <v>1.3</v>
      </c>
      <c r="E62" s="12">
        <v>7</v>
      </c>
      <c r="F62" s="8">
        <v>0.7</v>
      </c>
      <c r="G62" s="12">
        <v>23</v>
      </c>
      <c r="H62" s="8">
        <v>1.77</v>
      </c>
      <c r="I62" s="12">
        <v>0</v>
      </c>
    </row>
    <row r="63" spans="2:9" ht="15" customHeight="1" x14ac:dyDescent="0.2">
      <c r="B63" t="s">
        <v>198</v>
      </c>
      <c r="C63" s="12">
        <v>30</v>
      </c>
      <c r="D63" s="8">
        <v>1.3</v>
      </c>
      <c r="E63" s="12">
        <v>23</v>
      </c>
      <c r="F63" s="8">
        <v>2.2799999999999998</v>
      </c>
      <c r="G63" s="12">
        <v>7</v>
      </c>
      <c r="H63" s="8">
        <v>0.54</v>
      </c>
      <c r="I63" s="12">
        <v>0</v>
      </c>
    </row>
    <row r="64" spans="2:9" ht="15" customHeight="1" x14ac:dyDescent="0.2">
      <c r="B64" t="s">
        <v>202</v>
      </c>
      <c r="C64" s="12">
        <v>29</v>
      </c>
      <c r="D64" s="8">
        <v>1.25</v>
      </c>
      <c r="E64" s="12">
        <v>9</v>
      </c>
      <c r="F64" s="8">
        <v>0.89</v>
      </c>
      <c r="G64" s="12">
        <v>20</v>
      </c>
      <c r="H64" s="8">
        <v>1.54</v>
      </c>
      <c r="I64" s="12">
        <v>0</v>
      </c>
    </row>
    <row r="65" spans="2:9" ht="15" customHeight="1" x14ac:dyDescent="0.2">
      <c r="B65" t="s">
        <v>156</v>
      </c>
      <c r="C65" s="12">
        <v>29</v>
      </c>
      <c r="D65" s="8">
        <v>1.25</v>
      </c>
      <c r="E65" s="12">
        <v>22</v>
      </c>
      <c r="F65" s="8">
        <v>2.1800000000000002</v>
      </c>
      <c r="G65" s="12">
        <v>7</v>
      </c>
      <c r="H65" s="8">
        <v>0.54</v>
      </c>
      <c r="I65" s="12">
        <v>0</v>
      </c>
    </row>
    <row r="66" spans="2:9" ht="15" customHeight="1" x14ac:dyDescent="0.2">
      <c r="B66" t="s">
        <v>158</v>
      </c>
      <c r="C66" s="12">
        <v>29</v>
      </c>
      <c r="D66" s="8">
        <v>1.25</v>
      </c>
      <c r="E66" s="12">
        <v>6</v>
      </c>
      <c r="F66" s="8">
        <v>0.6</v>
      </c>
      <c r="G66" s="12">
        <v>23</v>
      </c>
      <c r="H66" s="8">
        <v>1.77</v>
      </c>
      <c r="I66" s="12">
        <v>0</v>
      </c>
    </row>
    <row r="68" spans="2:9" ht="15" customHeight="1" x14ac:dyDescent="0.2">
      <c r="B68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127C7-1092-4B3D-AD4B-0AB16F44B865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285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416</v>
      </c>
      <c r="D6" s="8">
        <v>12.72</v>
      </c>
      <c r="E6" s="12">
        <v>64</v>
      </c>
      <c r="F6" s="8">
        <v>3.96</v>
      </c>
      <c r="G6" s="12">
        <v>352</v>
      </c>
      <c r="H6" s="8">
        <v>21.32</v>
      </c>
      <c r="I6" s="12">
        <v>0</v>
      </c>
    </row>
    <row r="7" spans="2:9" ht="15" customHeight="1" x14ac:dyDescent="0.2">
      <c r="B7" t="s">
        <v>77</v>
      </c>
      <c r="C7" s="12">
        <v>209</v>
      </c>
      <c r="D7" s="8">
        <v>6.39</v>
      </c>
      <c r="E7" s="12">
        <v>55</v>
      </c>
      <c r="F7" s="8">
        <v>3.41</v>
      </c>
      <c r="G7" s="12">
        <v>154</v>
      </c>
      <c r="H7" s="8">
        <v>9.33</v>
      </c>
      <c r="I7" s="12">
        <v>0</v>
      </c>
    </row>
    <row r="8" spans="2:9" ht="15" customHeight="1" x14ac:dyDescent="0.2">
      <c r="B8" t="s">
        <v>78</v>
      </c>
      <c r="C8" s="12">
        <v>5</v>
      </c>
      <c r="D8" s="8">
        <v>0.15</v>
      </c>
      <c r="E8" s="12">
        <v>0</v>
      </c>
      <c r="F8" s="8">
        <v>0</v>
      </c>
      <c r="G8" s="12">
        <v>4</v>
      </c>
      <c r="H8" s="8">
        <v>0.24</v>
      </c>
      <c r="I8" s="12">
        <v>0</v>
      </c>
    </row>
    <row r="9" spans="2:9" ht="15" customHeight="1" x14ac:dyDescent="0.2">
      <c r="B9" t="s">
        <v>79</v>
      </c>
      <c r="C9" s="12">
        <v>52</v>
      </c>
      <c r="D9" s="8">
        <v>1.59</v>
      </c>
      <c r="E9" s="12">
        <v>2</v>
      </c>
      <c r="F9" s="8">
        <v>0.12</v>
      </c>
      <c r="G9" s="12">
        <v>50</v>
      </c>
      <c r="H9" s="8">
        <v>3.03</v>
      </c>
      <c r="I9" s="12">
        <v>0</v>
      </c>
    </row>
    <row r="10" spans="2:9" ht="15" customHeight="1" x14ac:dyDescent="0.2">
      <c r="B10" t="s">
        <v>80</v>
      </c>
      <c r="C10" s="12">
        <v>48</v>
      </c>
      <c r="D10" s="8">
        <v>1.47</v>
      </c>
      <c r="E10" s="12">
        <v>24</v>
      </c>
      <c r="F10" s="8">
        <v>1.49</v>
      </c>
      <c r="G10" s="12">
        <v>24</v>
      </c>
      <c r="H10" s="8">
        <v>1.45</v>
      </c>
      <c r="I10" s="12">
        <v>0</v>
      </c>
    </row>
    <row r="11" spans="2:9" ht="15" customHeight="1" x14ac:dyDescent="0.2">
      <c r="B11" t="s">
        <v>81</v>
      </c>
      <c r="C11" s="12">
        <v>567</v>
      </c>
      <c r="D11" s="8">
        <v>17.34</v>
      </c>
      <c r="E11" s="12">
        <v>253</v>
      </c>
      <c r="F11" s="8">
        <v>15.67</v>
      </c>
      <c r="G11" s="12">
        <v>314</v>
      </c>
      <c r="H11" s="8">
        <v>19.02</v>
      </c>
      <c r="I11" s="12">
        <v>0</v>
      </c>
    </row>
    <row r="12" spans="2:9" ht="15" customHeight="1" x14ac:dyDescent="0.2">
      <c r="B12" t="s">
        <v>82</v>
      </c>
      <c r="C12" s="12">
        <v>21</v>
      </c>
      <c r="D12" s="8">
        <v>0.64</v>
      </c>
      <c r="E12" s="12">
        <v>3</v>
      </c>
      <c r="F12" s="8">
        <v>0.19</v>
      </c>
      <c r="G12" s="12">
        <v>18</v>
      </c>
      <c r="H12" s="8">
        <v>1.0900000000000001</v>
      </c>
      <c r="I12" s="12">
        <v>0</v>
      </c>
    </row>
    <row r="13" spans="2:9" ht="15" customHeight="1" x14ac:dyDescent="0.2">
      <c r="B13" t="s">
        <v>83</v>
      </c>
      <c r="C13" s="12">
        <v>625</v>
      </c>
      <c r="D13" s="8">
        <v>19.11</v>
      </c>
      <c r="E13" s="12">
        <v>267</v>
      </c>
      <c r="F13" s="8">
        <v>16.53</v>
      </c>
      <c r="G13" s="12">
        <v>357</v>
      </c>
      <c r="H13" s="8">
        <v>21.62</v>
      </c>
      <c r="I13" s="12">
        <v>1</v>
      </c>
    </row>
    <row r="14" spans="2:9" ht="15" customHeight="1" x14ac:dyDescent="0.2">
      <c r="B14" t="s">
        <v>84</v>
      </c>
      <c r="C14" s="12">
        <v>164</v>
      </c>
      <c r="D14" s="8">
        <v>5.0199999999999996</v>
      </c>
      <c r="E14" s="12">
        <v>74</v>
      </c>
      <c r="F14" s="8">
        <v>4.58</v>
      </c>
      <c r="G14" s="12">
        <v>90</v>
      </c>
      <c r="H14" s="8">
        <v>5.45</v>
      </c>
      <c r="I14" s="12">
        <v>0</v>
      </c>
    </row>
    <row r="15" spans="2:9" ht="15" customHeight="1" x14ac:dyDescent="0.2">
      <c r="B15" t="s">
        <v>85</v>
      </c>
      <c r="C15" s="12">
        <v>426</v>
      </c>
      <c r="D15" s="8">
        <v>13.03</v>
      </c>
      <c r="E15" s="12">
        <v>378</v>
      </c>
      <c r="F15" s="8">
        <v>23.41</v>
      </c>
      <c r="G15" s="12">
        <v>48</v>
      </c>
      <c r="H15" s="8">
        <v>2.91</v>
      </c>
      <c r="I15" s="12">
        <v>0</v>
      </c>
    </row>
    <row r="16" spans="2:9" ht="15" customHeight="1" x14ac:dyDescent="0.2">
      <c r="B16" t="s">
        <v>86</v>
      </c>
      <c r="C16" s="12">
        <v>358</v>
      </c>
      <c r="D16" s="8">
        <v>10.95</v>
      </c>
      <c r="E16" s="12">
        <v>289</v>
      </c>
      <c r="F16" s="8">
        <v>17.89</v>
      </c>
      <c r="G16" s="12">
        <v>69</v>
      </c>
      <c r="H16" s="8">
        <v>4.18</v>
      </c>
      <c r="I16" s="12">
        <v>0</v>
      </c>
    </row>
    <row r="17" spans="2:9" ht="15" customHeight="1" x14ac:dyDescent="0.2">
      <c r="B17" t="s">
        <v>87</v>
      </c>
      <c r="C17" s="12">
        <v>86</v>
      </c>
      <c r="D17" s="8">
        <v>2.63</v>
      </c>
      <c r="E17" s="12">
        <v>61</v>
      </c>
      <c r="F17" s="8">
        <v>3.78</v>
      </c>
      <c r="G17" s="12">
        <v>24</v>
      </c>
      <c r="H17" s="8">
        <v>1.45</v>
      </c>
      <c r="I17" s="12">
        <v>0</v>
      </c>
    </row>
    <row r="18" spans="2:9" ht="15" customHeight="1" x14ac:dyDescent="0.2">
      <c r="B18" t="s">
        <v>88</v>
      </c>
      <c r="C18" s="12">
        <v>198</v>
      </c>
      <c r="D18" s="8">
        <v>6.06</v>
      </c>
      <c r="E18" s="12">
        <v>125</v>
      </c>
      <c r="F18" s="8">
        <v>7.74</v>
      </c>
      <c r="G18" s="12">
        <v>72</v>
      </c>
      <c r="H18" s="8">
        <v>4.3600000000000003</v>
      </c>
      <c r="I18" s="12">
        <v>1</v>
      </c>
    </row>
    <row r="19" spans="2:9" ht="15" customHeight="1" x14ac:dyDescent="0.2">
      <c r="B19" t="s">
        <v>89</v>
      </c>
      <c r="C19" s="12">
        <v>95</v>
      </c>
      <c r="D19" s="8">
        <v>2.91</v>
      </c>
      <c r="E19" s="12">
        <v>20</v>
      </c>
      <c r="F19" s="8">
        <v>1.24</v>
      </c>
      <c r="G19" s="12">
        <v>75</v>
      </c>
      <c r="H19" s="8">
        <v>4.54</v>
      </c>
      <c r="I19" s="12">
        <v>0</v>
      </c>
    </row>
    <row r="20" spans="2:9" ht="15" customHeight="1" x14ac:dyDescent="0.2">
      <c r="B20" s="9" t="s">
        <v>271</v>
      </c>
      <c r="C20" s="12">
        <f>SUM(LTBL_27114[総数／事業所数])</f>
        <v>3270</v>
      </c>
      <c r="E20" s="12">
        <f>SUBTOTAL(109,LTBL_27114[個人／事業所数])</f>
        <v>1615</v>
      </c>
      <c r="G20" s="12">
        <f>SUBTOTAL(109,LTBL_27114[法人／事業所数])</f>
        <v>1651</v>
      </c>
      <c r="I20" s="12">
        <f>SUBTOTAL(109,LTBL_27114[法人以外の団体／事業所数])</f>
        <v>2</v>
      </c>
    </row>
    <row r="21" spans="2:9" ht="15" customHeight="1" x14ac:dyDescent="0.2">
      <c r="E21" s="11">
        <f>LTBL_27114[[#Totals],[個人／事業所数]]/LTBL_27114[[#Totals],[総数／事業所数]]</f>
        <v>0.49388379204892968</v>
      </c>
      <c r="G21" s="11">
        <f>LTBL_27114[[#Totals],[法人／事業所数]]/LTBL_27114[[#Totals],[総数／事業所数]]</f>
        <v>0.50489296636085623</v>
      </c>
      <c r="I21" s="11">
        <f>LTBL_27114[[#Totals],[法人以外の団体／事業所数]]/LTBL_27114[[#Totals],[総数／事業所数]]</f>
        <v>6.116207951070336E-4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110</v>
      </c>
      <c r="C24" s="12">
        <v>534</v>
      </c>
      <c r="D24" s="8">
        <v>16.329999999999998</v>
      </c>
      <c r="E24" s="12">
        <v>254</v>
      </c>
      <c r="F24" s="8">
        <v>15.73</v>
      </c>
      <c r="G24" s="12">
        <v>279</v>
      </c>
      <c r="H24" s="8">
        <v>16.899999999999999</v>
      </c>
      <c r="I24" s="12">
        <v>1</v>
      </c>
    </row>
    <row r="25" spans="2:9" ht="15" customHeight="1" x14ac:dyDescent="0.2">
      <c r="B25" t="s">
        <v>113</v>
      </c>
      <c r="C25" s="12">
        <v>403</v>
      </c>
      <c r="D25" s="8">
        <v>12.32</v>
      </c>
      <c r="E25" s="12">
        <v>370</v>
      </c>
      <c r="F25" s="8">
        <v>22.91</v>
      </c>
      <c r="G25" s="12">
        <v>33</v>
      </c>
      <c r="H25" s="8">
        <v>2</v>
      </c>
      <c r="I25" s="12">
        <v>0</v>
      </c>
    </row>
    <row r="26" spans="2:9" ht="15" customHeight="1" x14ac:dyDescent="0.2">
      <c r="B26" t="s">
        <v>114</v>
      </c>
      <c r="C26" s="12">
        <v>289</v>
      </c>
      <c r="D26" s="8">
        <v>8.84</v>
      </c>
      <c r="E26" s="12">
        <v>255</v>
      </c>
      <c r="F26" s="8">
        <v>15.79</v>
      </c>
      <c r="G26" s="12">
        <v>34</v>
      </c>
      <c r="H26" s="8">
        <v>2.06</v>
      </c>
      <c r="I26" s="12">
        <v>0</v>
      </c>
    </row>
    <row r="27" spans="2:9" ht="15" customHeight="1" x14ac:dyDescent="0.2">
      <c r="B27" t="s">
        <v>99</v>
      </c>
      <c r="C27" s="12">
        <v>147</v>
      </c>
      <c r="D27" s="8">
        <v>4.5</v>
      </c>
      <c r="E27" s="12">
        <v>25</v>
      </c>
      <c r="F27" s="8">
        <v>1.55</v>
      </c>
      <c r="G27" s="12">
        <v>122</v>
      </c>
      <c r="H27" s="8">
        <v>7.39</v>
      </c>
      <c r="I27" s="12">
        <v>0</v>
      </c>
    </row>
    <row r="28" spans="2:9" ht="15" customHeight="1" x14ac:dyDescent="0.2">
      <c r="B28" t="s">
        <v>116</v>
      </c>
      <c r="C28" s="12">
        <v>146</v>
      </c>
      <c r="D28" s="8">
        <v>4.46</v>
      </c>
      <c r="E28" s="12">
        <v>125</v>
      </c>
      <c r="F28" s="8">
        <v>7.74</v>
      </c>
      <c r="G28" s="12">
        <v>21</v>
      </c>
      <c r="H28" s="8">
        <v>1.27</v>
      </c>
      <c r="I28" s="12">
        <v>0</v>
      </c>
    </row>
    <row r="29" spans="2:9" ht="15" customHeight="1" x14ac:dyDescent="0.2">
      <c r="B29" t="s">
        <v>100</v>
      </c>
      <c r="C29" s="12">
        <v>135</v>
      </c>
      <c r="D29" s="8">
        <v>4.13</v>
      </c>
      <c r="E29" s="12">
        <v>15</v>
      </c>
      <c r="F29" s="8">
        <v>0.93</v>
      </c>
      <c r="G29" s="12">
        <v>120</v>
      </c>
      <c r="H29" s="8">
        <v>7.27</v>
      </c>
      <c r="I29" s="12">
        <v>0</v>
      </c>
    </row>
    <row r="30" spans="2:9" ht="15" customHeight="1" x14ac:dyDescent="0.2">
      <c r="B30" t="s">
        <v>98</v>
      </c>
      <c r="C30" s="12">
        <v>134</v>
      </c>
      <c r="D30" s="8">
        <v>4.0999999999999996</v>
      </c>
      <c r="E30" s="12">
        <v>24</v>
      </c>
      <c r="F30" s="8">
        <v>1.49</v>
      </c>
      <c r="G30" s="12">
        <v>110</v>
      </c>
      <c r="H30" s="8">
        <v>6.66</v>
      </c>
      <c r="I30" s="12">
        <v>0</v>
      </c>
    </row>
    <row r="31" spans="2:9" ht="15" customHeight="1" x14ac:dyDescent="0.2">
      <c r="B31" t="s">
        <v>108</v>
      </c>
      <c r="C31" s="12">
        <v>126</v>
      </c>
      <c r="D31" s="8">
        <v>3.85</v>
      </c>
      <c r="E31" s="12">
        <v>85</v>
      </c>
      <c r="F31" s="8">
        <v>5.26</v>
      </c>
      <c r="G31" s="12">
        <v>41</v>
      </c>
      <c r="H31" s="8">
        <v>2.48</v>
      </c>
      <c r="I31" s="12">
        <v>0</v>
      </c>
    </row>
    <row r="32" spans="2:9" ht="15" customHeight="1" x14ac:dyDescent="0.2">
      <c r="B32" t="s">
        <v>106</v>
      </c>
      <c r="C32" s="12">
        <v>108</v>
      </c>
      <c r="D32" s="8">
        <v>3.3</v>
      </c>
      <c r="E32" s="12">
        <v>85</v>
      </c>
      <c r="F32" s="8">
        <v>5.26</v>
      </c>
      <c r="G32" s="12">
        <v>23</v>
      </c>
      <c r="H32" s="8">
        <v>1.39</v>
      </c>
      <c r="I32" s="12">
        <v>0</v>
      </c>
    </row>
    <row r="33" spans="2:9" ht="15" customHeight="1" x14ac:dyDescent="0.2">
      <c r="B33" t="s">
        <v>111</v>
      </c>
      <c r="C33" s="12">
        <v>91</v>
      </c>
      <c r="D33" s="8">
        <v>2.78</v>
      </c>
      <c r="E33" s="12">
        <v>53</v>
      </c>
      <c r="F33" s="8">
        <v>3.28</v>
      </c>
      <c r="G33" s="12">
        <v>38</v>
      </c>
      <c r="H33" s="8">
        <v>2.2999999999999998</v>
      </c>
      <c r="I33" s="12">
        <v>0</v>
      </c>
    </row>
    <row r="34" spans="2:9" ht="15" customHeight="1" x14ac:dyDescent="0.2">
      <c r="B34" t="s">
        <v>115</v>
      </c>
      <c r="C34" s="12">
        <v>86</v>
      </c>
      <c r="D34" s="8">
        <v>2.63</v>
      </c>
      <c r="E34" s="12">
        <v>61</v>
      </c>
      <c r="F34" s="8">
        <v>3.78</v>
      </c>
      <c r="G34" s="12">
        <v>24</v>
      </c>
      <c r="H34" s="8">
        <v>1.45</v>
      </c>
      <c r="I34" s="12">
        <v>0</v>
      </c>
    </row>
    <row r="35" spans="2:9" ht="15" customHeight="1" x14ac:dyDescent="0.2">
      <c r="B35" t="s">
        <v>103</v>
      </c>
      <c r="C35" s="12">
        <v>76</v>
      </c>
      <c r="D35" s="8">
        <v>2.3199999999999998</v>
      </c>
      <c r="E35" s="12">
        <v>6</v>
      </c>
      <c r="F35" s="8">
        <v>0.37</v>
      </c>
      <c r="G35" s="12">
        <v>70</v>
      </c>
      <c r="H35" s="8">
        <v>4.24</v>
      </c>
      <c r="I35" s="12">
        <v>0</v>
      </c>
    </row>
    <row r="36" spans="2:9" ht="15" customHeight="1" x14ac:dyDescent="0.2">
      <c r="B36" t="s">
        <v>109</v>
      </c>
      <c r="C36" s="12">
        <v>76</v>
      </c>
      <c r="D36" s="8">
        <v>2.3199999999999998</v>
      </c>
      <c r="E36" s="12">
        <v>12</v>
      </c>
      <c r="F36" s="8">
        <v>0.74</v>
      </c>
      <c r="G36" s="12">
        <v>64</v>
      </c>
      <c r="H36" s="8">
        <v>3.88</v>
      </c>
      <c r="I36" s="12">
        <v>0</v>
      </c>
    </row>
    <row r="37" spans="2:9" ht="15" customHeight="1" x14ac:dyDescent="0.2">
      <c r="B37" t="s">
        <v>112</v>
      </c>
      <c r="C37" s="12">
        <v>65</v>
      </c>
      <c r="D37" s="8">
        <v>1.99</v>
      </c>
      <c r="E37" s="12">
        <v>20</v>
      </c>
      <c r="F37" s="8">
        <v>1.24</v>
      </c>
      <c r="G37" s="12">
        <v>45</v>
      </c>
      <c r="H37" s="8">
        <v>2.73</v>
      </c>
      <c r="I37" s="12">
        <v>0</v>
      </c>
    </row>
    <row r="38" spans="2:9" ht="15" customHeight="1" x14ac:dyDescent="0.2">
      <c r="B38" t="s">
        <v>104</v>
      </c>
      <c r="C38" s="12">
        <v>55</v>
      </c>
      <c r="D38" s="8">
        <v>1.68</v>
      </c>
      <c r="E38" s="12">
        <v>11</v>
      </c>
      <c r="F38" s="8">
        <v>0.68</v>
      </c>
      <c r="G38" s="12">
        <v>44</v>
      </c>
      <c r="H38" s="8">
        <v>2.67</v>
      </c>
      <c r="I38" s="12">
        <v>0</v>
      </c>
    </row>
    <row r="39" spans="2:9" ht="15" customHeight="1" x14ac:dyDescent="0.2">
      <c r="B39" t="s">
        <v>117</v>
      </c>
      <c r="C39" s="12">
        <v>52</v>
      </c>
      <c r="D39" s="8">
        <v>1.59</v>
      </c>
      <c r="E39" s="12">
        <v>0</v>
      </c>
      <c r="F39" s="8">
        <v>0</v>
      </c>
      <c r="G39" s="12">
        <v>51</v>
      </c>
      <c r="H39" s="8">
        <v>3.09</v>
      </c>
      <c r="I39" s="12">
        <v>1</v>
      </c>
    </row>
    <row r="40" spans="2:9" ht="15" customHeight="1" x14ac:dyDescent="0.2">
      <c r="B40" t="s">
        <v>107</v>
      </c>
      <c r="C40" s="12">
        <v>51</v>
      </c>
      <c r="D40" s="8">
        <v>1.56</v>
      </c>
      <c r="E40" s="12">
        <v>29</v>
      </c>
      <c r="F40" s="8">
        <v>1.8</v>
      </c>
      <c r="G40" s="12">
        <v>22</v>
      </c>
      <c r="H40" s="8">
        <v>1.33</v>
      </c>
      <c r="I40" s="12">
        <v>0</v>
      </c>
    </row>
    <row r="41" spans="2:9" ht="15" customHeight="1" x14ac:dyDescent="0.2">
      <c r="B41" t="s">
        <v>130</v>
      </c>
      <c r="C41" s="12">
        <v>51</v>
      </c>
      <c r="D41" s="8">
        <v>1.56</v>
      </c>
      <c r="E41" s="12">
        <v>23</v>
      </c>
      <c r="F41" s="8">
        <v>1.42</v>
      </c>
      <c r="G41" s="12">
        <v>28</v>
      </c>
      <c r="H41" s="8">
        <v>1.7</v>
      </c>
      <c r="I41" s="12">
        <v>0</v>
      </c>
    </row>
    <row r="42" spans="2:9" ht="15" customHeight="1" x14ac:dyDescent="0.2">
      <c r="B42" t="s">
        <v>119</v>
      </c>
      <c r="C42" s="12">
        <v>50</v>
      </c>
      <c r="D42" s="8">
        <v>1.53</v>
      </c>
      <c r="E42" s="12">
        <v>4</v>
      </c>
      <c r="F42" s="8">
        <v>0.25</v>
      </c>
      <c r="G42" s="12">
        <v>46</v>
      </c>
      <c r="H42" s="8">
        <v>2.79</v>
      </c>
      <c r="I42" s="12">
        <v>0</v>
      </c>
    </row>
    <row r="43" spans="2:9" ht="15" customHeight="1" x14ac:dyDescent="0.2">
      <c r="B43" t="s">
        <v>105</v>
      </c>
      <c r="C43" s="12">
        <v>45</v>
      </c>
      <c r="D43" s="8">
        <v>1.38</v>
      </c>
      <c r="E43" s="12">
        <v>27</v>
      </c>
      <c r="F43" s="8">
        <v>1.67</v>
      </c>
      <c r="G43" s="12">
        <v>18</v>
      </c>
      <c r="H43" s="8">
        <v>1.0900000000000001</v>
      </c>
      <c r="I43" s="12">
        <v>0</v>
      </c>
    </row>
    <row r="46" spans="2:9" ht="33" customHeight="1" x14ac:dyDescent="0.2">
      <c r="B46" t="s">
        <v>273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160</v>
      </c>
      <c r="C47" s="12">
        <v>351</v>
      </c>
      <c r="D47" s="8">
        <v>10.73</v>
      </c>
      <c r="E47" s="12">
        <v>188</v>
      </c>
      <c r="F47" s="8">
        <v>11.64</v>
      </c>
      <c r="G47" s="12">
        <v>163</v>
      </c>
      <c r="H47" s="8">
        <v>9.8699999999999992</v>
      </c>
      <c r="I47" s="12">
        <v>0</v>
      </c>
    </row>
    <row r="48" spans="2:9" ht="15" customHeight="1" x14ac:dyDescent="0.2">
      <c r="B48" t="s">
        <v>169</v>
      </c>
      <c r="C48" s="12">
        <v>141</v>
      </c>
      <c r="D48" s="8">
        <v>4.3099999999999996</v>
      </c>
      <c r="E48" s="12">
        <v>131</v>
      </c>
      <c r="F48" s="8">
        <v>8.11</v>
      </c>
      <c r="G48" s="12">
        <v>10</v>
      </c>
      <c r="H48" s="8">
        <v>0.61</v>
      </c>
      <c r="I48" s="12">
        <v>0</v>
      </c>
    </row>
    <row r="49" spans="2:9" ht="15" customHeight="1" x14ac:dyDescent="0.2">
      <c r="B49" t="s">
        <v>171</v>
      </c>
      <c r="C49" s="12">
        <v>112</v>
      </c>
      <c r="D49" s="8">
        <v>3.43</v>
      </c>
      <c r="E49" s="12">
        <v>97</v>
      </c>
      <c r="F49" s="8">
        <v>6.01</v>
      </c>
      <c r="G49" s="12">
        <v>15</v>
      </c>
      <c r="H49" s="8">
        <v>0.91</v>
      </c>
      <c r="I49" s="12">
        <v>0</v>
      </c>
    </row>
    <row r="50" spans="2:9" ht="15" customHeight="1" x14ac:dyDescent="0.2">
      <c r="B50" t="s">
        <v>165</v>
      </c>
      <c r="C50" s="12">
        <v>110</v>
      </c>
      <c r="D50" s="8">
        <v>3.36</v>
      </c>
      <c r="E50" s="12">
        <v>101</v>
      </c>
      <c r="F50" s="8">
        <v>6.25</v>
      </c>
      <c r="G50" s="12">
        <v>9</v>
      </c>
      <c r="H50" s="8">
        <v>0.55000000000000004</v>
      </c>
      <c r="I50" s="12">
        <v>0</v>
      </c>
    </row>
    <row r="51" spans="2:9" ht="15" customHeight="1" x14ac:dyDescent="0.2">
      <c r="B51" t="s">
        <v>167</v>
      </c>
      <c r="C51" s="12">
        <v>93</v>
      </c>
      <c r="D51" s="8">
        <v>2.84</v>
      </c>
      <c r="E51" s="12">
        <v>88</v>
      </c>
      <c r="F51" s="8">
        <v>5.45</v>
      </c>
      <c r="G51" s="12">
        <v>5</v>
      </c>
      <c r="H51" s="8">
        <v>0.3</v>
      </c>
      <c r="I51" s="12">
        <v>0</v>
      </c>
    </row>
    <row r="52" spans="2:9" ht="15" customHeight="1" x14ac:dyDescent="0.2">
      <c r="B52" t="s">
        <v>168</v>
      </c>
      <c r="C52" s="12">
        <v>88</v>
      </c>
      <c r="D52" s="8">
        <v>2.69</v>
      </c>
      <c r="E52" s="12">
        <v>87</v>
      </c>
      <c r="F52" s="8">
        <v>5.39</v>
      </c>
      <c r="G52" s="12">
        <v>1</v>
      </c>
      <c r="H52" s="8">
        <v>0.06</v>
      </c>
      <c r="I52" s="12">
        <v>0</v>
      </c>
    </row>
    <row r="53" spans="2:9" ht="15" customHeight="1" x14ac:dyDescent="0.2">
      <c r="B53" t="s">
        <v>162</v>
      </c>
      <c r="C53" s="12">
        <v>71</v>
      </c>
      <c r="D53" s="8">
        <v>2.17</v>
      </c>
      <c r="E53" s="12">
        <v>5</v>
      </c>
      <c r="F53" s="8">
        <v>0.31</v>
      </c>
      <c r="G53" s="12">
        <v>65</v>
      </c>
      <c r="H53" s="8">
        <v>3.94</v>
      </c>
      <c r="I53" s="12">
        <v>1</v>
      </c>
    </row>
    <row r="54" spans="2:9" ht="15" customHeight="1" x14ac:dyDescent="0.2">
      <c r="B54" t="s">
        <v>161</v>
      </c>
      <c r="C54" s="12">
        <v>70</v>
      </c>
      <c r="D54" s="8">
        <v>2.14</v>
      </c>
      <c r="E54" s="12">
        <v>52</v>
      </c>
      <c r="F54" s="8">
        <v>3.22</v>
      </c>
      <c r="G54" s="12">
        <v>18</v>
      </c>
      <c r="H54" s="8">
        <v>1.0900000000000001</v>
      </c>
      <c r="I54" s="12">
        <v>0</v>
      </c>
    </row>
    <row r="55" spans="2:9" ht="15" customHeight="1" x14ac:dyDescent="0.2">
      <c r="B55" t="s">
        <v>170</v>
      </c>
      <c r="C55" s="12">
        <v>61</v>
      </c>
      <c r="D55" s="8">
        <v>1.87</v>
      </c>
      <c r="E55" s="12">
        <v>51</v>
      </c>
      <c r="F55" s="8">
        <v>3.16</v>
      </c>
      <c r="G55" s="12">
        <v>10</v>
      </c>
      <c r="H55" s="8">
        <v>0.61</v>
      </c>
      <c r="I55" s="12">
        <v>0</v>
      </c>
    </row>
    <row r="56" spans="2:9" ht="15" customHeight="1" x14ac:dyDescent="0.2">
      <c r="B56" t="s">
        <v>164</v>
      </c>
      <c r="C56" s="12">
        <v>59</v>
      </c>
      <c r="D56" s="8">
        <v>1.8</v>
      </c>
      <c r="E56" s="12">
        <v>52</v>
      </c>
      <c r="F56" s="8">
        <v>3.22</v>
      </c>
      <c r="G56" s="12">
        <v>7</v>
      </c>
      <c r="H56" s="8">
        <v>0.42</v>
      </c>
      <c r="I56" s="12">
        <v>0</v>
      </c>
    </row>
    <row r="57" spans="2:9" ht="15" customHeight="1" x14ac:dyDescent="0.2">
      <c r="B57" t="s">
        <v>153</v>
      </c>
      <c r="C57" s="12">
        <v>55</v>
      </c>
      <c r="D57" s="8">
        <v>1.68</v>
      </c>
      <c r="E57" s="12">
        <v>8</v>
      </c>
      <c r="F57" s="8">
        <v>0.5</v>
      </c>
      <c r="G57" s="12">
        <v>47</v>
      </c>
      <c r="H57" s="8">
        <v>2.85</v>
      </c>
      <c r="I57" s="12">
        <v>0</v>
      </c>
    </row>
    <row r="58" spans="2:9" ht="15" customHeight="1" x14ac:dyDescent="0.2">
      <c r="B58" t="s">
        <v>158</v>
      </c>
      <c r="C58" s="12">
        <v>54</v>
      </c>
      <c r="D58" s="8">
        <v>1.65</v>
      </c>
      <c r="E58" s="12">
        <v>10</v>
      </c>
      <c r="F58" s="8">
        <v>0.62</v>
      </c>
      <c r="G58" s="12">
        <v>44</v>
      </c>
      <c r="H58" s="8">
        <v>2.67</v>
      </c>
      <c r="I58" s="12">
        <v>0</v>
      </c>
    </row>
    <row r="59" spans="2:9" ht="15" customHeight="1" x14ac:dyDescent="0.2">
      <c r="B59" t="s">
        <v>152</v>
      </c>
      <c r="C59" s="12">
        <v>51</v>
      </c>
      <c r="D59" s="8">
        <v>1.56</v>
      </c>
      <c r="E59" s="12">
        <v>6</v>
      </c>
      <c r="F59" s="8">
        <v>0.37</v>
      </c>
      <c r="G59" s="12">
        <v>45</v>
      </c>
      <c r="H59" s="8">
        <v>2.73</v>
      </c>
      <c r="I59" s="12">
        <v>0</v>
      </c>
    </row>
    <row r="60" spans="2:9" ht="15" customHeight="1" x14ac:dyDescent="0.2">
      <c r="B60" t="s">
        <v>157</v>
      </c>
      <c r="C60" s="12">
        <v>51</v>
      </c>
      <c r="D60" s="8">
        <v>1.56</v>
      </c>
      <c r="E60" s="12">
        <v>40</v>
      </c>
      <c r="F60" s="8">
        <v>2.48</v>
      </c>
      <c r="G60" s="12">
        <v>11</v>
      </c>
      <c r="H60" s="8">
        <v>0.67</v>
      </c>
      <c r="I60" s="12">
        <v>0</v>
      </c>
    </row>
    <row r="61" spans="2:9" ht="15" customHeight="1" x14ac:dyDescent="0.2">
      <c r="B61" t="s">
        <v>156</v>
      </c>
      <c r="C61" s="12">
        <v>47</v>
      </c>
      <c r="D61" s="8">
        <v>1.44</v>
      </c>
      <c r="E61" s="12">
        <v>34</v>
      </c>
      <c r="F61" s="8">
        <v>2.11</v>
      </c>
      <c r="G61" s="12">
        <v>13</v>
      </c>
      <c r="H61" s="8">
        <v>0.79</v>
      </c>
      <c r="I61" s="12">
        <v>0</v>
      </c>
    </row>
    <row r="62" spans="2:9" ht="15" customHeight="1" x14ac:dyDescent="0.2">
      <c r="B62" t="s">
        <v>166</v>
      </c>
      <c r="C62" s="12">
        <v>46</v>
      </c>
      <c r="D62" s="8">
        <v>1.41</v>
      </c>
      <c r="E62" s="12">
        <v>44</v>
      </c>
      <c r="F62" s="8">
        <v>2.72</v>
      </c>
      <c r="G62" s="12">
        <v>2</v>
      </c>
      <c r="H62" s="8">
        <v>0.12</v>
      </c>
      <c r="I62" s="12">
        <v>0</v>
      </c>
    </row>
    <row r="63" spans="2:9" ht="15" customHeight="1" x14ac:dyDescent="0.2">
      <c r="B63" t="s">
        <v>174</v>
      </c>
      <c r="C63" s="12">
        <v>45</v>
      </c>
      <c r="D63" s="8">
        <v>1.38</v>
      </c>
      <c r="E63" s="12">
        <v>4</v>
      </c>
      <c r="F63" s="8">
        <v>0.25</v>
      </c>
      <c r="G63" s="12">
        <v>41</v>
      </c>
      <c r="H63" s="8">
        <v>2.48</v>
      </c>
      <c r="I63" s="12">
        <v>0</v>
      </c>
    </row>
    <row r="64" spans="2:9" ht="15" customHeight="1" x14ac:dyDescent="0.2">
      <c r="B64" t="s">
        <v>183</v>
      </c>
      <c r="C64" s="12">
        <v>44</v>
      </c>
      <c r="D64" s="8">
        <v>1.35</v>
      </c>
      <c r="E64" s="12">
        <v>43</v>
      </c>
      <c r="F64" s="8">
        <v>2.66</v>
      </c>
      <c r="G64" s="12">
        <v>1</v>
      </c>
      <c r="H64" s="8">
        <v>0.06</v>
      </c>
      <c r="I64" s="12">
        <v>0</v>
      </c>
    </row>
    <row r="65" spans="2:9" ht="15" customHeight="1" x14ac:dyDescent="0.2">
      <c r="B65" t="s">
        <v>159</v>
      </c>
      <c r="C65" s="12">
        <v>42</v>
      </c>
      <c r="D65" s="8">
        <v>1.28</v>
      </c>
      <c r="E65" s="12">
        <v>9</v>
      </c>
      <c r="F65" s="8">
        <v>0.56000000000000005</v>
      </c>
      <c r="G65" s="12">
        <v>33</v>
      </c>
      <c r="H65" s="8">
        <v>2</v>
      </c>
      <c r="I65" s="12">
        <v>0</v>
      </c>
    </row>
    <row r="66" spans="2:9" ht="15" customHeight="1" x14ac:dyDescent="0.2">
      <c r="B66" t="s">
        <v>196</v>
      </c>
      <c r="C66" s="12">
        <v>39</v>
      </c>
      <c r="D66" s="8">
        <v>1.19</v>
      </c>
      <c r="E66" s="12">
        <v>21</v>
      </c>
      <c r="F66" s="8">
        <v>1.3</v>
      </c>
      <c r="G66" s="12">
        <v>18</v>
      </c>
      <c r="H66" s="8">
        <v>1.0900000000000001</v>
      </c>
      <c r="I66" s="12">
        <v>0</v>
      </c>
    </row>
    <row r="68" spans="2:9" ht="15" customHeight="1" x14ac:dyDescent="0.2">
      <c r="B68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B9200-AC67-4146-BBB2-D45D05286564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286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184</v>
      </c>
      <c r="D6" s="8">
        <v>6.2</v>
      </c>
      <c r="E6" s="12">
        <v>41</v>
      </c>
      <c r="F6" s="8">
        <v>2.65</v>
      </c>
      <c r="G6" s="12">
        <v>143</v>
      </c>
      <c r="H6" s="8">
        <v>10.11</v>
      </c>
      <c r="I6" s="12">
        <v>0</v>
      </c>
    </row>
    <row r="7" spans="2:9" ht="15" customHeight="1" x14ac:dyDescent="0.2">
      <c r="B7" t="s">
        <v>77</v>
      </c>
      <c r="C7" s="12">
        <v>697</v>
      </c>
      <c r="D7" s="8">
        <v>23.5</v>
      </c>
      <c r="E7" s="12">
        <v>260</v>
      </c>
      <c r="F7" s="8">
        <v>16.82</v>
      </c>
      <c r="G7" s="12">
        <v>437</v>
      </c>
      <c r="H7" s="8">
        <v>30.88</v>
      </c>
      <c r="I7" s="12">
        <v>0</v>
      </c>
    </row>
    <row r="8" spans="2:9" ht="15" customHeight="1" x14ac:dyDescent="0.2">
      <c r="B8" t="s">
        <v>78</v>
      </c>
      <c r="C8" s="12">
        <v>1</v>
      </c>
      <c r="D8" s="8">
        <v>0.03</v>
      </c>
      <c r="E8" s="12">
        <v>0</v>
      </c>
      <c r="F8" s="8">
        <v>0</v>
      </c>
      <c r="G8" s="12">
        <v>1</v>
      </c>
      <c r="H8" s="8">
        <v>7.0000000000000007E-2</v>
      </c>
      <c r="I8" s="12">
        <v>0</v>
      </c>
    </row>
    <row r="9" spans="2:9" ht="15" customHeight="1" x14ac:dyDescent="0.2">
      <c r="B9" t="s">
        <v>79</v>
      </c>
      <c r="C9" s="12">
        <v>25</v>
      </c>
      <c r="D9" s="8">
        <v>0.84</v>
      </c>
      <c r="E9" s="12">
        <v>3</v>
      </c>
      <c r="F9" s="8">
        <v>0.19</v>
      </c>
      <c r="G9" s="12">
        <v>22</v>
      </c>
      <c r="H9" s="8">
        <v>1.55</v>
      </c>
      <c r="I9" s="12">
        <v>0</v>
      </c>
    </row>
    <row r="10" spans="2:9" ht="15" customHeight="1" x14ac:dyDescent="0.2">
      <c r="B10" t="s">
        <v>80</v>
      </c>
      <c r="C10" s="12">
        <v>21</v>
      </c>
      <c r="D10" s="8">
        <v>0.71</v>
      </c>
      <c r="E10" s="12">
        <v>7</v>
      </c>
      <c r="F10" s="8">
        <v>0.45</v>
      </c>
      <c r="G10" s="12">
        <v>14</v>
      </c>
      <c r="H10" s="8">
        <v>0.99</v>
      </c>
      <c r="I10" s="12">
        <v>0</v>
      </c>
    </row>
    <row r="11" spans="2:9" ht="15" customHeight="1" x14ac:dyDescent="0.2">
      <c r="B11" t="s">
        <v>81</v>
      </c>
      <c r="C11" s="12">
        <v>772</v>
      </c>
      <c r="D11" s="8">
        <v>26.03</v>
      </c>
      <c r="E11" s="12">
        <v>436</v>
      </c>
      <c r="F11" s="8">
        <v>28.2</v>
      </c>
      <c r="G11" s="12">
        <v>336</v>
      </c>
      <c r="H11" s="8">
        <v>23.75</v>
      </c>
      <c r="I11" s="12">
        <v>0</v>
      </c>
    </row>
    <row r="12" spans="2:9" ht="15" customHeight="1" x14ac:dyDescent="0.2">
      <c r="B12" t="s">
        <v>82</v>
      </c>
      <c r="C12" s="12">
        <v>5</v>
      </c>
      <c r="D12" s="8">
        <v>0.17</v>
      </c>
      <c r="E12" s="12">
        <v>0</v>
      </c>
      <c r="F12" s="8">
        <v>0</v>
      </c>
      <c r="G12" s="12">
        <v>5</v>
      </c>
      <c r="H12" s="8">
        <v>0.35</v>
      </c>
      <c r="I12" s="12">
        <v>0</v>
      </c>
    </row>
    <row r="13" spans="2:9" ht="15" customHeight="1" x14ac:dyDescent="0.2">
      <c r="B13" t="s">
        <v>83</v>
      </c>
      <c r="C13" s="12">
        <v>341</v>
      </c>
      <c r="D13" s="8">
        <v>11.5</v>
      </c>
      <c r="E13" s="12">
        <v>107</v>
      </c>
      <c r="F13" s="8">
        <v>6.92</v>
      </c>
      <c r="G13" s="12">
        <v>234</v>
      </c>
      <c r="H13" s="8">
        <v>16.54</v>
      </c>
      <c r="I13" s="12">
        <v>0</v>
      </c>
    </row>
    <row r="14" spans="2:9" ht="15" customHeight="1" x14ac:dyDescent="0.2">
      <c r="B14" t="s">
        <v>84</v>
      </c>
      <c r="C14" s="12">
        <v>119</v>
      </c>
      <c r="D14" s="8">
        <v>4.01</v>
      </c>
      <c r="E14" s="12">
        <v>60</v>
      </c>
      <c r="F14" s="8">
        <v>3.88</v>
      </c>
      <c r="G14" s="12">
        <v>59</v>
      </c>
      <c r="H14" s="8">
        <v>4.17</v>
      </c>
      <c r="I14" s="12">
        <v>0</v>
      </c>
    </row>
    <row r="15" spans="2:9" ht="15" customHeight="1" x14ac:dyDescent="0.2">
      <c r="B15" t="s">
        <v>85</v>
      </c>
      <c r="C15" s="12">
        <v>350</v>
      </c>
      <c r="D15" s="8">
        <v>11.8</v>
      </c>
      <c r="E15" s="12">
        <v>311</v>
      </c>
      <c r="F15" s="8">
        <v>20.12</v>
      </c>
      <c r="G15" s="12">
        <v>39</v>
      </c>
      <c r="H15" s="8">
        <v>2.76</v>
      </c>
      <c r="I15" s="12">
        <v>0</v>
      </c>
    </row>
    <row r="16" spans="2:9" ht="15" customHeight="1" x14ac:dyDescent="0.2">
      <c r="B16" t="s">
        <v>86</v>
      </c>
      <c r="C16" s="12">
        <v>214</v>
      </c>
      <c r="D16" s="8">
        <v>7.22</v>
      </c>
      <c r="E16" s="12">
        <v>175</v>
      </c>
      <c r="F16" s="8">
        <v>11.32</v>
      </c>
      <c r="G16" s="12">
        <v>39</v>
      </c>
      <c r="H16" s="8">
        <v>2.76</v>
      </c>
      <c r="I16" s="12">
        <v>0</v>
      </c>
    </row>
    <row r="17" spans="2:9" ht="15" customHeight="1" x14ac:dyDescent="0.2">
      <c r="B17" t="s">
        <v>87</v>
      </c>
      <c r="C17" s="12">
        <v>44</v>
      </c>
      <c r="D17" s="8">
        <v>1.48</v>
      </c>
      <c r="E17" s="12">
        <v>34</v>
      </c>
      <c r="F17" s="8">
        <v>2.2000000000000002</v>
      </c>
      <c r="G17" s="12">
        <v>9</v>
      </c>
      <c r="H17" s="8">
        <v>0.64</v>
      </c>
      <c r="I17" s="12">
        <v>0</v>
      </c>
    </row>
    <row r="18" spans="2:9" ht="15" customHeight="1" x14ac:dyDescent="0.2">
      <c r="B18" t="s">
        <v>88</v>
      </c>
      <c r="C18" s="12">
        <v>133</v>
      </c>
      <c r="D18" s="8">
        <v>4.4800000000000004</v>
      </c>
      <c r="E18" s="12">
        <v>93</v>
      </c>
      <c r="F18" s="8">
        <v>6.02</v>
      </c>
      <c r="G18" s="12">
        <v>36</v>
      </c>
      <c r="H18" s="8">
        <v>2.54</v>
      </c>
      <c r="I18" s="12">
        <v>4</v>
      </c>
    </row>
    <row r="19" spans="2:9" ht="15" customHeight="1" x14ac:dyDescent="0.2">
      <c r="B19" t="s">
        <v>89</v>
      </c>
      <c r="C19" s="12">
        <v>60</v>
      </c>
      <c r="D19" s="8">
        <v>2.02</v>
      </c>
      <c r="E19" s="12">
        <v>19</v>
      </c>
      <c r="F19" s="8">
        <v>1.23</v>
      </c>
      <c r="G19" s="12">
        <v>41</v>
      </c>
      <c r="H19" s="8">
        <v>2.9</v>
      </c>
      <c r="I19" s="12">
        <v>0</v>
      </c>
    </row>
    <row r="20" spans="2:9" ht="15" customHeight="1" x14ac:dyDescent="0.2">
      <c r="B20" s="9" t="s">
        <v>271</v>
      </c>
      <c r="C20" s="12">
        <f>SUM(LTBL_27115[総数／事業所数])</f>
        <v>2966</v>
      </c>
      <c r="E20" s="12">
        <f>SUBTOTAL(109,LTBL_27115[個人／事業所数])</f>
        <v>1546</v>
      </c>
      <c r="G20" s="12">
        <f>SUBTOTAL(109,LTBL_27115[法人／事業所数])</f>
        <v>1415</v>
      </c>
      <c r="I20" s="12">
        <f>SUBTOTAL(109,LTBL_27115[法人以外の団体／事業所数])</f>
        <v>4</v>
      </c>
    </row>
    <row r="21" spans="2:9" ht="15" customHeight="1" x14ac:dyDescent="0.2">
      <c r="E21" s="11">
        <f>LTBL_27115[[#Totals],[個人／事業所数]]/LTBL_27115[[#Totals],[総数／事業所数]]</f>
        <v>0.52124072825354018</v>
      </c>
      <c r="G21" s="11">
        <f>LTBL_27115[[#Totals],[法人／事業所数]]/LTBL_27115[[#Totals],[総数／事業所数]]</f>
        <v>0.47707349966284557</v>
      </c>
      <c r="I21" s="11">
        <f>LTBL_27115[[#Totals],[法人以外の団体／事業所数]]/LTBL_27115[[#Totals],[総数／事業所数]]</f>
        <v>1.3486176668914363E-3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113</v>
      </c>
      <c r="C24" s="12">
        <v>328</v>
      </c>
      <c r="D24" s="8">
        <v>11.06</v>
      </c>
      <c r="E24" s="12">
        <v>301</v>
      </c>
      <c r="F24" s="8">
        <v>19.47</v>
      </c>
      <c r="G24" s="12">
        <v>27</v>
      </c>
      <c r="H24" s="8">
        <v>1.91</v>
      </c>
      <c r="I24" s="12">
        <v>0</v>
      </c>
    </row>
    <row r="25" spans="2:9" ht="15" customHeight="1" x14ac:dyDescent="0.2">
      <c r="B25" t="s">
        <v>110</v>
      </c>
      <c r="C25" s="12">
        <v>287</v>
      </c>
      <c r="D25" s="8">
        <v>9.68</v>
      </c>
      <c r="E25" s="12">
        <v>95</v>
      </c>
      <c r="F25" s="8">
        <v>6.14</v>
      </c>
      <c r="G25" s="12">
        <v>192</v>
      </c>
      <c r="H25" s="8">
        <v>13.57</v>
      </c>
      <c r="I25" s="12">
        <v>0</v>
      </c>
    </row>
    <row r="26" spans="2:9" ht="15" customHeight="1" x14ac:dyDescent="0.2">
      <c r="B26" t="s">
        <v>114</v>
      </c>
      <c r="C26" s="12">
        <v>172</v>
      </c>
      <c r="D26" s="8">
        <v>5.8</v>
      </c>
      <c r="E26" s="12">
        <v>142</v>
      </c>
      <c r="F26" s="8">
        <v>9.18</v>
      </c>
      <c r="G26" s="12">
        <v>30</v>
      </c>
      <c r="H26" s="8">
        <v>2.12</v>
      </c>
      <c r="I26" s="12">
        <v>0</v>
      </c>
    </row>
    <row r="27" spans="2:9" ht="15" customHeight="1" x14ac:dyDescent="0.2">
      <c r="B27" t="s">
        <v>108</v>
      </c>
      <c r="C27" s="12">
        <v>157</v>
      </c>
      <c r="D27" s="8">
        <v>5.29</v>
      </c>
      <c r="E27" s="12">
        <v>100</v>
      </c>
      <c r="F27" s="8">
        <v>6.47</v>
      </c>
      <c r="G27" s="12">
        <v>57</v>
      </c>
      <c r="H27" s="8">
        <v>4.03</v>
      </c>
      <c r="I27" s="12">
        <v>0</v>
      </c>
    </row>
    <row r="28" spans="2:9" ht="15" customHeight="1" x14ac:dyDescent="0.2">
      <c r="B28" t="s">
        <v>121</v>
      </c>
      <c r="C28" s="12">
        <v>144</v>
      </c>
      <c r="D28" s="8">
        <v>4.8600000000000003</v>
      </c>
      <c r="E28" s="12">
        <v>42</v>
      </c>
      <c r="F28" s="8">
        <v>2.72</v>
      </c>
      <c r="G28" s="12">
        <v>102</v>
      </c>
      <c r="H28" s="8">
        <v>7.21</v>
      </c>
      <c r="I28" s="12">
        <v>0</v>
      </c>
    </row>
    <row r="29" spans="2:9" ht="15" customHeight="1" x14ac:dyDescent="0.2">
      <c r="B29" t="s">
        <v>106</v>
      </c>
      <c r="C29" s="12">
        <v>133</v>
      </c>
      <c r="D29" s="8">
        <v>4.4800000000000004</v>
      </c>
      <c r="E29" s="12">
        <v>106</v>
      </c>
      <c r="F29" s="8">
        <v>6.86</v>
      </c>
      <c r="G29" s="12">
        <v>27</v>
      </c>
      <c r="H29" s="8">
        <v>1.91</v>
      </c>
      <c r="I29" s="12">
        <v>0</v>
      </c>
    </row>
    <row r="30" spans="2:9" ht="15" customHeight="1" x14ac:dyDescent="0.2">
      <c r="B30" t="s">
        <v>101</v>
      </c>
      <c r="C30" s="12">
        <v>130</v>
      </c>
      <c r="D30" s="8">
        <v>4.38</v>
      </c>
      <c r="E30" s="12">
        <v>44</v>
      </c>
      <c r="F30" s="8">
        <v>2.85</v>
      </c>
      <c r="G30" s="12">
        <v>86</v>
      </c>
      <c r="H30" s="8">
        <v>6.08</v>
      </c>
      <c r="I30" s="12">
        <v>0</v>
      </c>
    </row>
    <row r="31" spans="2:9" ht="15" customHeight="1" x14ac:dyDescent="0.2">
      <c r="B31" t="s">
        <v>105</v>
      </c>
      <c r="C31" s="12">
        <v>126</v>
      </c>
      <c r="D31" s="8">
        <v>4.25</v>
      </c>
      <c r="E31" s="12">
        <v>109</v>
      </c>
      <c r="F31" s="8">
        <v>7.05</v>
      </c>
      <c r="G31" s="12">
        <v>17</v>
      </c>
      <c r="H31" s="8">
        <v>1.2</v>
      </c>
      <c r="I31" s="12">
        <v>0</v>
      </c>
    </row>
    <row r="32" spans="2:9" ht="15" customHeight="1" x14ac:dyDescent="0.2">
      <c r="B32" t="s">
        <v>116</v>
      </c>
      <c r="C32" s="12">
        <v>107</v>
      </c>
      <c r="D32" s="8">
        <v>3.61</v>
      </c>
      <c r="E32" s="12">
        <v>92</v>
      </c>
      <c r="F32" s="8">
        <v>5.95</v>
      </c>
      <c r="G32" s="12">
        <v>15</v>
      </c>
      <c r="H32" s="8">
        <v>1.06</v>
      </c>
      <c r="I32" s="12">
        <v>0</v>
      </c>
    </row>
    <row r="33" spans="2:9" ht="15" customHeight="1" x14ac:dyDescent="0.2">
      <c r="B33" t="s">
        <v>104</v>
      </c>
      <c r="C33" s="12">
        <v>78</v>
      </c>
      <c r="D33" s="8">
        <v>2.63</v>
      </c>
      <c r="E33" s="12">
        <v>17</v>
      </c>
      <c r="F33" s="8">
        <v>1.1000000000000001</v>
      </c>
      <c r="G33" s="12">
        <v>61</v>
      </c>
      <c r="H33" s="8">
        <v>4.3099999999999996</v>
      </c>
      <c r="I33" s="12">
        <v>0</v>
      </c>
    </row>
    <row r="34" spans="2:9" ht="15" customHeight="1" x14ac:dyDescent="0.2">
      <c r="B34" t="s">
        <v>111</v>
      </c>
      <c r="C34" s="12">
        <v>76</v>
      </c>
      <c r="D34" s="8">
        <v>2.56</v>
      </c>
      <c r="E34" s="12">
        <v>44</v>
      </c>
      <c r="F34" s="8">
        <v>2.85</v>
      </c>
      <c r="G34" s="12">
        <v>32</v>
      </c>
      <c r="H34" s="8">
        <v>2.2599999999999998</v>
      </c>
      <c r="I34" s="12">
        <v>0</v>
      </c>
    </row>
    <row r="35" spans="2:9" ht="15" customHeight="1" x14ac:dyDescent="0.2">
      <c r="B35" t="s">
        <v>98</v>
      </c>
      <c r="C35" s="12">
        <v>75</v>
      </c>
      <c r="D35" s="8">
        <v>2.5299999999999998</v>
      </c>
      <c r="E35" s="12">
        <v>16</v>
      </c>
      <c r="F35" s="8">
        <v>1.03</v>
      </c>
      <c r="G35" s="12">
        <v>59</v>
      </c>
      <c r="H35" s="8">
        <v>4.17</v>
      </c>
      <c r="I35" s="12">
        <v>0</v>
      </c>
    </row>
    <row r="36" spans="2:9" ht="15" customHeight="1" x14ac:dyDescent="0.2">
      <c r="B36" t="s">
        <v>127</v>
      </c>
      <c r="C36" s="12">
        <v>73</v>
      </c>
      <c r="D36" s="8">
        <v>2.46</v>
      </c>
      <c r="E36" s="12">
        <v>18</v>
      </c>
      <c r="F36" s="8">
        <v>1.1599999999999999</v>
      </c>
      <c r="G36" s="12">
        <v>55</v>
      </c>
      <c r="H36" s="8">
        <v>3.89</v>
      </c>
      <c r="I36" s="12">
        <v>0</v>
      </c>
    </row>
    <row r="37" spans="2:9" ht="15" customHeight="1" x14ac:dyDescent="0.2">
      <c r="B37" t="s">
        <v>120</v>
      </c>
      <c r="C37" s="12">
        <v>59</v>
      </c>
      <c r="D37" s="8">
        <v>1.99</v>
      </c>
      <c r="E37" s="12">
        <v>34</v>
      </c>
      <c r="F37" s="8">
        <v>2.2000000000000002</v>
      </c>
      <c r="G37" s="12">
        <v>25</v>
      </c>
      <c r="H37" s="8">
        <v>1.77</v>
      </c>
      <c r="I37" s="12">
        <v>0</v>
      </c>
    </row>
    <row r="38" spans="2:9" ht="15" customHeight="1" x14ac:dyDescent="0.2">
      <c r="B38" t="s">
        <v>102</v>
      </c>
      <c r="C38" s="12">
        <v>59</v>
      </c>
      <c r="D38" s="8">
        <v>1.99</v>
      </c>
      <c r="E38" s="12">
        <v>21</v>
      </c>
      <c r="F38" s="8">
        <v>1.36</v>
      </c>
      <c r="G38" s="12">
        <v>38</v>
      </c>
      <c r="H38" s="8">
        <v>2.69</v>
      </c>
      <c r="I38" s="12">
        <v>0</v>
      </c>
    </row>
    <row r="39" spans="2:9" ht="15" customHeight="1" x14ac:dyDescent="0.2">
      <c r="B39" t="s">
        <v>103</v>
      </c>
      <c r="C39" s="12">
        <v>59</v>
      </c>
      <c r="D39" s="8">
        <v>1.99</v>
      </c>
      <c r="E39" s="12">
        <v>12</v>
      </c>
      <c r="F39" s="8">
        <v>0.78</v>
      </c>
      <c r="G39" s="12">
        <v>47</v>
      </c>
      <c r="H39" s="8">
        <v>3.32</v>
      </c>
      <c r="I39" s="12">
        <v>0</v>
      </c>
    </row>
    <row r="40" spans="2:9" ht="15" customHeight="1" x14ac:dyDescent="0.2">
      <c r="B40" t="s">
        <v>107</v>
      </c>
      <c r="C40" s="12">
        <v>59</v>
      </c>
      <c r="D40" s="8">
        <v>1.99</v>
      </c>
      <c r="E40" s="12">
        <v>33</v>
      </c>
      <c r="F40" s="8">
        <v>2.13</v>
      </c>
      <c r="G40" s="12">
        <v>26</v>
      </c>
      <c r="H40" s="8">
        <v>1.84</v>
      </c>
      <c r="I40" s="12">
        <v>0</v>
      </c>
    </row>
    <row r="41" spans="2:9" ht="15" customHeight="1" x14ac:dyDescent="0.2">
      <c r="B41" t="s">
        <v>100</v>
      </c>
      <c r="C41" s="12">
        <v>57</v>
      </c>
      <c r="D41" s="8">
        <v>1.92</v>
      </c>
      <c r="E41" s="12">
        <v>12</v>
      </c>
      <c r="F41" s="8">
        <v>0.78</v>
      </c>
      <c r="G41" s="12">
        <v>45</v>
      </c>
      <c r="H41" s="8">
        <v>3.18</v>
      </c>
      <c r="I41" s="12">
        <v>0</v>
      </c>
    </row>
    <row r="42" spans="2:9" ht="15" customHeight="1" x14ac:dyDescent="0.2">
      <c r="B42" t="s">
        <v>99</v>
      </c>
      <c r="C42" s="12">
        <v>52</v>
      </c>
      <c r="D42" s="8">
        <v>1.75</v>
      </c>
      <c r="E42" s="12">
        <v>13</v>
      </c>
      <c r="F42" s="8">
        <v>0.84</v>
      </c>
      <c r="G42" s="12">
        <v>39</v>
      </c>
      <c r="H42" s="8">
        <v>2.76</v>
      </c>
      <c r="I42" s="12">
        <v>0</v>
      </c>
    </row>
    <row r="43" spans="2:9" ht="15" customHeight="1" x14ac:dyDescent="0.2">
      <c r="B43" t="s">
        <v>131</v>
      </c>
      <c r="C43" s="12">
        <v>51</v>
      </c>
      <c r="D43" s="8">
        <v>1.72</v>
      </c>
      <c r="E43" s="12">
        <v>19</v>
      </c>
      <c r="F43" s="8">
        <v>1.23</v>
      </c>
      <c r="G43" s="12">
        <v>32</v>
      </c>
      <c r="H43" s="8">
        <v>2.2599999999999998</v>
      </c>
      <c r="I43" s="12">
        <v>0</v>
      </c>
    </row>
    <row r="46" spans="2:9" ht="33" customHeight="1" x14ac:dyDescent="0.2">
      <c r="B46" t="s">
        <v>273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160</v>
      </c>
      <c r="C47" s="12">
        <v>156</v>
      </c>
      <c r="D47" s="8">
        <v>5.26</v>
      </c>
      <c r="E47" s="12">
        <v>51</v>
      </c>
      <c r="F47" s="8">
        <v>3.3</v>
      </c>
      <c r="G47" s="12">
        <v>105</v>
      </c>
      <c r="H47" s="8">
        <v>7.42</v>
      </c>
      <c r="I47" s="12">
        <v>0</v>
      </c>
    </row>
    <row r="48" spans="2:9" ht="15" customHeight="1" x14ac:dyDescent="0.2">
      <c r="B48" t="s">
        <v>175</v>
      </c>
      <c r="C48" s="12">
        <v>85</v>
      </c>
      <c r="D48" s="8">
        <v>2.87</v>
      </c>
      <c r="E48" s="12">
        <v>23</v>
      </c>
      <c r="F48" s="8">
        <v>1.49</v>
      </c>
      <c r="G48" s="12">
        <v>62</v>
      </c>
      <c r="H48" s="8">
        <v>4.38</v>
      </c>
      <c r="I48" s="12">
        <v>0</v>
      </c>
    </row>
    <row r="49" spans="2:9" ht="15" customHeight="1" x14ac:dyDescent="0.2">
      <c r="B49" t="s">
        <v>165</v>
      </c>
      <c r="C49" s="12">
        <v>84</v>
      </c>
      <c r="D49" s="8">
        <v>2.83</v>
      </c>
      <c r="E49" s="12">
        <v>81</v>
      </c>
      <c r="F49" s="8">
        <v>5.24</v>
      </c>
      <c r="G49" s="12">
        <v>3</v>
      </c>
      <c r="H49" s="8">
        <v>0.21</v>
      </c>
      <c r="I49" s="12">
        <v>0</v>
      </c>
    </row>
    <row r="50" spans="2:9" ht="15" customHeight="1" x14ac:dyDescent="0.2">
      <c r="B50" t="s">
        <v>164</v>
      </c>
      <c r="C50" s="12">
        <v>81</v>
      </c>
      <c r="D50" s="8">
        <v>2.73</v>
      </c>
      <c r="E50" s="12">
        <v>67</v>
      </c>
      <c r="F50" s="8">
        <v>4.33</v>
      </c>
      <c r="G50" s="12">
        <v>14</v>
      </c>
      <c r="H50" s="8">
        <v>0.99</v>
      </c>
      <c r="I50" s="12">
        <v>0</v>
      </c>
    </row>
    <row r="51" spans="2:9" ht="15" customHeight="1" x14ac:dyDescent="0.2">
      <c r="B51" t="s">
        <v>167</v>
      </c>
      <c r="C51" s="12">
        <v>79</v>
      </c>
      <c r="D51" s="8">
        <v>2.66</v>
      </c>
      <c r="E51" s="12">
        <v>77</v>
      </c>
      <c r="F51" s="8">
        <v>4.9800000000000004</v>
      </c>
      <c r="G51" s="12">
        <v>2</v>
      </c>
      <c r="H51" s="8">
        <v>0.14000000000000001</v>
      </c>
      <c r="I51" s="12">
        <v>0</v>
      </c>
    </row>
    <row r="52" spans="2:9" ht="15" customHeight="1" x14ac:dyDescent="0.2">
      <c r="B52" t="s">
        <v>155</v>
      </c>
      <c r="C52" s="12">
        <v>76</v>
      </c>
      <c r="D52" s="8">
        <v>2.56</v>
      </c>
      <c r="E52" s="12">
        <v>70</v>
      </c>
      <c r="F52" s="8">
        <v>4.53</v>
      </c>
      <c r="G52" s="12">
        <v>6</v>
      </c>
      <c r="H52" s="8">
        <v>0.42</v>
      </c>
      <c r="I52" s="12">
        <v>0</v>
      </c>
    </row>
    <row r="53" spans="2:9" ht="15" customHeight="1" x14ac:dyDescent="0.2">
      <c r="B53" t="s">
        <v>169</v>
      </c>
      <c r="C53" s="12">
        <v>76</v>
      </c>
      <c r="D53" s="8">
        <v>2.56</v>
      </c>
      <c r="E53" s="12">
        <v>61</v>
      </c>
      <c r="F53" s="8">
        <v>3.95</v>
      </c>
      <c r="G53" s="12">
        <v>15</v>
      </c>
      <c r="H53" s="8">
        <v>1.06</v>
      </c>
      <c r="I53" s="12">
        <v>0</v>
      </c>
    </row>
    <row r="54" spans="2:9" ht="15" customHeight="1" x14ac:dyDescent="0.2">
      <c r="B54" t="s">
        <v>171</v>
      </c>
      <c r="C54" s="12">
        <v>74</v>
      </c>
      <c r="D54" s="8">
        <v>2.4900000000000002</v>
      </c>
      <c r="E54" s="12">
        <v>63</v>
      </c>
      <c r="F54" s="8">
        <v>4.08</v>
      </c>
      <c r="G54" s="12">
        <v>11</v>
      </c>
      <c r="H54" s="8">
        <v>0.78</v>
      </c>
      <c r="I54" s="12">
        <v>0</v>
      </c>
    </row>
    <row r="55" spans="2:9" ht="15" customHeight="1" x14ac:dyDescent="0.2">
      <c r="B55" t="s">
        <v>157</v>
      </c>
      <c r="C55" s="12">
        <v>64</v>
      </c>
      <c r="D55" s="8">
        <v>2.16</v>
      </c>
      <c r="E55" s="12">
        <v>51</v>
      </c>
      <c r="F55" s="8">
        <v>3.3</v>
      </c>
      <c r="G55" s="12">
        <v>13</v>
      </c>
      <c r="H55" s="8">
        <v>0.92</v>
      </c>
      <c r="I55" s="12">
        <v>0</v>
      </c>
    </row>
    <row r="56" spans="2:9" ht="15" customHeight="1" x14ac:dyDescent="0.2">
      <c r="B56" t="s">
        <v>156</v>
      </c>
      <c r="C56" s="12">
        <v>60</v>
      </c>
      <c r="D56" s="8">
        <v>2.02</v>
      </c>
      <c r="E56" s="12">
        <v>51</v>
      </c>
      <c r="F56" s="8">
        <v>3.3</v>
      </c>
      <c r="G56" s="12">
        <v>9</v>
      </c>
      <c r="H56" s="8">
        <v>0.64</v>
      </c>
      <c r="I56" s="12">
        <v>0</v>
      </c>
    </row>
    <row r="57" spans="2:9" ht="15" customHeight="1" x14ac:dyDescent="0.2">
      <c r="B57" t="s">
        <v>168</v>
      </c>
      <c r="C57" s="12">
        <v>52</v>
      </c>
      <c r="D57" s="8">
        <v>1.75</v>
      </c>
      <c r="E57" s="12">
        <v>50</v>
      </c>
      <c r="F57" s="8">
        <v>3.23</v>
      </c>
      <c r="G57" s="12">
        <v>2</v>
      </c>
      <c r="H57" s="8">
        <v>0.14000000000000001</v>
      </c>
      <c r="I57" s="12">
        <v>0</v>
      </c>
    </row>
    <row r="58" spans="2:9" ht="15" customHeight="1" x14ac:dyDescent="0.2">
      <c r="B58" t="s">
        <v>159</v>
      </c>
      <c r="C58" s="12">
        <v>50</v>
      </c>
      <c r="D58" s="8">
        <v>1.69</v>
      </c>
      <c r="E58" s="12">
        <v>8</v>
      </c>
      <c r="F58" s="8">
        <v>0.52</v>
      </c>
      <c r="G58" s="12">
        <v>42</v>
      </c>
      <c r="H58" s="8">
        <v>2.97</v>
      </c>
      <c r="I58" s="12">
        <v>0</v>
      </c>
    </row>
    <row r="59" spans="2:9" ht="15" customHeight="1" x14ac:dyDescent="0.2">
      <c r="B59" t="s">
        <v>154</v>
      </c>
      <c r="C59" s="12">
        <v>47</v>
      </c>
      <c r="D59" s="8">
        <v>1.58</v>
      </c>
      <c r="E59" s="12">
        <v>11</v>
      </c>
      <c r="F59" s="8">
        <v>0.71</v>
      </c>
      <c r="G59" s="12">
        <v>36</v>
      </c>
      <c r="H59" s="8">
        <v>2.54</v>
      </c>
      <c r="I59" s="12">
        <v>0</v>
      </c>
    </row>
    <row r="60" spans="2:9" ht="15" customHeight="1" x14ac:dyDescent="0.2">
      <c r="B60" t="s">
        <v>161</v>
      </c>
      <c r="C60" s="12">
        <v>42</v>
      </c>
      <c r="D60" s="8">
        <v>1.42</v>
      </c>
      <c r="E60" s="12">
        <v>32</v>
      </c>
      <c r="F60" s="8">
        <v>2.0699999999999998</v>
      </c>
      <c r="G60" s="12">
        <v>10</v>
      </c>
      <c r="H60" s="8">
        <v>0.71</v>
      </c>
      <c r="I60" s="12">
        <v>0</v>
      </c>
    </row>
    <row r="61" spans="2:9" ht="15" customHeight="1" x14ac:dyDescent="0.2">
      <c r="B61" t="s">
        <v>162</v>
      </c>
      <c r="C61" s="12">
        <v>39</v>
      </c>
      <c r="D61" s="8">
        <v>1.31</v>
      </c>
      <c r="E61" s="12">
        <v>4</v>
      </c>
      <c r="F61" s="8">
        <v>0.26</v>
      </c>
      <c r="G61" s="12">
        <v>35</v>
      </c>
      <c r="H61" s="8">
        <v>2.4700000000000002</v>
      </c>
      <c r="I61" s="12">
        <v>0</v>
      </c>
    </row>
    <row r="62" spans="2:9" ht="15" customHeight="1" x14ac:dyDescent="0.2">
      <c r="B62" t="s">
        <v>179</v>
      </c>
      <c r="C62" s="12">
        <v>38</v>
      </c>
      <c r="D62" s="8">
        <v>1.28</v>
      </c>
      <c r="E62" s="12">
        <v>9</v>
      </c>
      <c r="F62" s="8">
        <v>0.57999999999999996</v>
      </c>
      <c r="G62" s="12">
        <v>29</v>
      </c>
      <c r="H62" s="8">
        <v>2.0499999999999998</v>
      </c>
      <c r="I62" s="12">
        <v>0</v>
      </c>
    </row>
    <row r="63" spans="2:9" ht="15" customHeight="1" x14ac:dyDescent="0.2">
      <c r="B63" t="s">
        <v>206</v>
      </c>
      <c r="C63" s="12">
        <v>35</v>
      </c>
      <c r="D63" s="8">
        <v>1.18</v>
      </c>
      <c r="E63" s="12">
        <v>16</v>
      </c>
      <c r="F63" s="8">
        <v>1.03</v>
      </c>
      <c r="G63" s="12">
        <v>19</v>
      </c>
      <c r="H63" s="8">
        <v>1.34</v>
      </c>
      <c r="I63" s="12">
        <v>0</v>
      </c>
    </row>
    <row r="64" spans="2:9" ht="15" customHeight="1" x14ac:dyDescent="0.2">
      <c r="B64" t="s">
        <v>158</v>
      </c>
      <c r="C64" s="12">
        <v>34</v>
      </c>
      <c r="D64" s="8">
        <v>1.1499999999999999</v>
      </c>
      <c r="E64" s="12">
        <v>9</v>
      </c>
      <c r="F64" s="8">
        <v>0.57999999999999996</v>
      </c>
      <c r="G64" s="12">
        <v>25</v>
      </c>
      <c r="H64" s="8">
        <v>1.77</v>
      </c>
      <c r="I64" s="12">
        <v>0</v>
      </c>
    </row>
    <row r="65" spans="2:9" ht="15" customHeight="1" x14ac:dyDescent="0.2">
      <c r="B65" t="s">
        <v>176</v>
      </c>
      <c r="C65" s="12">
        <v>33</v>
      </c>
      <c r="D65" s="8">
        <v>1.1100000000000001</v>
      </c>
      <c r="E65" s="12">
        <v>9</v>
      </c>
      <c r="F65" s="8">
        <v>0.57999999999999996</v>
      </c>
      <c r="G65" s="12">
        <v>24</v>
      </c>
      <c r="H65" s="8">
        <v>1.7</v>
      </c>
      <c r="I65" s="12">
        <v>0</v>
      </c>
    </row>
    <row r="66" spans="2:9" ht="15" customHeight="1" x14ac:dyDescent="0.2">
      <c r="B66" t="s">
        <v>205</v>
      </c>
      <c r="C66" s="12">
        <v>31</v>
      </c>
      <c r="D66" s="8">
        <v>1.05</v>
      </c>
      <c r="E66" s="12">
        <v>17</v>
      </c>
      <c r="F66" s="8">
        <v>1.1000000000000001</v>
      </c>
      <c r="G66" s="12">
        <v>14</v>
      </c>
      <c r="H66" s="8">
        <v>0.99</v>
      </c>
      <c r="I66" s="12">
        <v>0</v>
      </c>
    </row>
    <row r="68" spans="2:9" ht="15" customHeight="1" x14ac:dyDescent="0.2">
      <c r="B68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D8052-203C-4F47-82D1-A90DD2AE8C18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287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289</v>
      </c>
      <c r="D6" s="8">
        <v>6.26</v>
      </c>
      <c r="E6" s="12">
        <v>88</v>
      </c>
      <c r="F6" s="8">
        <v>3.13</v>
      </c>
      <c r="G6" s="12">
        <v>201</v>
      </c>
      <c r="H6" s="8">
        <v>11.24</v>
      </c>
      <c r="I6" s="12">
        <v>0</v>
      </c>
    </row>
    <row r="7" spans="2:9" ht="15" customHeight="1" x14ac:dyDescent="0.2">
      <c r="B7" t="s">
        <v>77</v>
      </c>
      <c r="C7" s="12">
        <v>1321</v>
      </c>
      <c r="D7" s="8">
        <v>28.61</v>
      </c>
      <c r="E7" s="12">
        <v>733</v>
      </c>
      <c r="F7" s="8">
        <v>26.04</v>
      </c>
      <c r="G7" s="12">
        <v>588</v>
      </c>
      <c r="H7" s="8">
        <v>32.869999999999997</v>
      </c>
      <c r="I7" s="12">
        <v>0</v>
      </c>
    </row>
    <row r="8" spans="2:9" ht="15" customHeight="1" x14ac:dyDescent="0.2">
      <c r="B8" t="s">
        <v>78</v>
      </c>
      <c r="C8" s="12">
        <v>1</v>
      </c>
      <c r="D8" s="8">
        <v>0.02</v>
      </c>
      <c r="E8" s="12">
        <v>0</v>
      </c>
      <c r="F8" s="8">
        <v>0</v>
      </c>
      <c r="G8" s="12">
        <v>1</v>
      </c>
      <c r="H8" s="8">
        <v>0.06</v>
      </c>
      <c r="I8" s="12">
        <v>0</v>
      </c>
    </row>
    <row r="9" spans="2:9" ht="15" customHeight="1" x14ac:dyDescent="0.2">
      <c r="B9" t="s">
        <v>79</v>
      </c>
      <c r="C9" s="12">
        <v>27</v>
      </c>
      <c r="D9" s="8">
        <v>0.57999999999999996</v>
      </c>
      <c r="E9" s="12">
        <v>2</v>
      </c>
      <c r="F9" s="8">
        <v>7.0000000000000007E-2</v>
      </c>
      <c r="G9" s="12">
        <v>25</v>
      </c>
      <c r="H9" s="8">
        <v>1.4</v>
      </c>
      <c r="I9" s="12">
        <v>0</v>
      </c>
    </row>
    <row r="10" spans="2:9" ht="15" customHeight="1" x14ac:dyDescent="0.2">
      <c r="B10" t="s">
        <v>80</v>
      </c>
      <c r="C10" s="12">
        <v>33</v>
      </c>
      <c r="D10" s="8">
        <v>0.71</v>
      </c>
      <c r="E10" s="12">
        <v>16</v>
      </c>
      <c r="F10" s="8">
        <v>0.56999999999999995</v>
      </c>
      <c r="G10" s="12">
        <v>17</v>
      </c>
      <c r="H10" s="8">
        <v>0.95</v>
      </c>
      <c r="I10" s="12">
        <v>0</v>
      </c>
    </row>
    <row r="11" spans="2:9" ht="15" customHeight="1" x14ac:dyDescent="0.2">
      <c r="B11" t="s">
        <v>81</v>
      </c>
      <c r="C11" s="12">
        <v>1042</v>
      </c>
      <c r="D11" s="8">
        <v>22.57</v>
      </c>
      <c r="E11" s="12">
        <v>695</v>
      </c>
      <c r="F11" s="8">
        <v>24.69</v>
      </c>
      <c r="G11" s="12">
        <v>347</v>
      </c>
      <c r="H11" s="8">
        <v>19.399999999999999</v>
      </c>
      <c r="I11" s="12">
        <v>0</v>
      </c>
    </row>
    <row r="12" spans="2:9" ht="15" customHeight="1" x14ac:dyDescent="0.2">
      <c r="B12" t="s">
        <v>82</v>
      </c>
      <c r="C12" s="12">
        <v>14</v>
      </c>
      <c r="D12" s="8">
        <v>0.3</v>
      </c>
      <c r="E12" s="12">
        <v>4</v>
      </c>
      <c r="F12" s="8">
        <v>0.14000000000000001</v>
      </c>
      <c r="G12" s="12">
        <v>10</v>
      </c>
      <c r="H12" s="8">
        <v>0.56000000000000005</v>
      </c>
      <c r="I12" s="12">
        <v>0</v>
      </c>
    </row>
    <row r="13" spans="2:9" ht="15" customHeight="1" x14ac:dyDescent="0.2">
      <c r="B13" t="s">
        <v>83</v>
      </c>
      <c r="C13" s="12">
        <v>550</v>
      </c>
      <c r="D13" s="8">
        <v>11.91</v>
      </c>
      <c r="E13" s="12">
        <v>231</v>
      </c>
      <c r="F13" s="8">
        <v>8.2100000000000009</v>
      </c>
      <c r="G13" s="12">
        <v>318</v>
      </c>
      <c r="H13" s="8">
        <v>17.78</v>
      </c>
      <c r="I13" s="12">
        <v>1</v>
      </c>
    </row>
    <row r="14" spans="2:9" ht="15" customHeight="1" x14ac:dyDescent="0.2">
      <c r="B14" t="s">
        <v>84</v>
      </c>
      <c r="C14" s="12">
        <v>94</v>
      </c>
      <c r="D14" s="8">
        <v>2.04</v>
      </c>
      <c r="E14" s="12">
        <v>49</v>
      </c>
      <c r="F14" s="8">
        <v>1.74</v>
      </c>
      <c r="G14" s="12">
        <v>45</v>
      </c>
      <c r="H14" s="8">
        <v>2.52</v>
      </c>
      <c r="I14" s="12">
        <v>0</v>
      </c>
    </row>
    <row r="15" spans="2:9" ht="15" customHeight="1" x14ac:dyDescent="0.2">
      <c r="B15" t="s">
        <v>85</v>
      </c>
      <c r="C15" s="12">
        <v>519</v>
      </c>
      <c r="D15" s="8">
        <v>11.24</v>
      </c>
      <c r="E15" s="12">
        <v>466</v>
      </c>
      <c r="F15" s="8">
        <v>16.55</v>
      </c>
      <c r="G15" s="12">
        <v>52</v>
      </c>
      <c r="H15" s="8">
        <v>2.91</v>
      </c>
      <c r="I15" s="12">
        <v>0</v>
      </c>
    </row>
    <row r="16" spans="2:9" ht="15" customHeight="1" x14ac:dyDescent="0.2">
      <c r="B16" t="s">
        <v>86</v>
      </c>
      <c r="C16" s="12">
        <v>341</v>
      </c>
      <c r="D16" s="8">
        <v>7.39</v>
      </c>
      <c r="E16" s="12">
        <v>296</v>
      </c>
      <c r="F16" s="8">
        <v>10.52</v>
      </c>
      <c r="G16" s="12">
        <v>45</v>
      </c>
      <c r="H16" s="8">
        <v>2.52</v>
      </c>
      <c r="I16" s="12">
        <v>0</v>
      </c>
    </row>
    <row r="17" spans="2:9" ht="15" customHeight="1" x14ac:dyDescent="0.2">
      <c r="B17" t="s">
        <v>87</v>
      </c>
      <c r="C17" s="12">
        <v>71</v>
      </c>
      <c r="D17" s="8">
        <v>1.54</v>
      </c>
      <c r="E17" s="12">
        <v>59</v>
      </c>
      <c r="F17" s="8">
        <v>2.1</v>
      </c>
      <c r="G17" s="12">
        <v>11</v>
      </c>
      <c r="H17" s="8">
        <v>0.61</v>
      </c>
      <c r="I17" s="12">
        <v>0</v>
      </c>
    </row>
    <row r="18" spans="2:9" ht="15" customHeight="1" x14ac:dyDescent="0.2">
      <c r="B18" t="s">
        <v>88</v>
      </c>
      <c r="C18" s="12">
        <v>239</v>
      </c>
      <c r="D18" s="8">
        <v>5.18</v>
      </c>
      <c r="E18" s="12">
        <v>139</v>
      </c>
      <c r="F18" s="8">
        <v>4.9400000000000004</v>
      </c>
      <c r="G18" s="12">
        <v>92</v>
      </c>
      <c r="H18" s="8">
        <v>5.14</v>
      </c>
      <c r="I18" s="12">
        <v>8</v>
      </c>
    </row>
    <row r="19" spans="2:9" ht="15" customHeight="1" x14ac:dyDescent="0.2">
      <c r="B19" t="s">
        <v>89</v>
      </c>
      <c r="C19" s="12">
        <v>76</v>
      </c>
      <c r="D19" s="8">
        <v>1.65</v>
      </c>
      <c r="E19" s="12">
        <v>37</v>
      </c>
      <c r="F19" s="8">
        <v>1.31</v>
      </c>
      <c r="G19" s="12">
        <v>37</v>
      </c>
      <c r="H19" s="8">
        <v>2.0699999999999998</v>
      </c>
      <c r="I19" s="12">
        <v>2</v>
      </c>
    </row>
    <row r="20" spans="2:9" ht="15" customHeight="1" x14ac:dyDescent="0.2">
      <c r="B20" s="9" t="s">
        <v>271</v>
      </c>
      <c r="C20" s="12">
        <f>SUM(LTBL_27116[総数／事業所数])</f>
        <v>4617</v>
      </c>
      <c r="E20" s="12">
        <f>SUBTOTAL(109,LTBL_27116[個人／事業所数])</f>
        <v>2815</v>
      </c>
      <c r="G20" s="12">
        <f>SUBTOTAL(109,LTBL_27116[法人／事業所数])</f>
        <v>1789</v>
      </c>
      <c r="I20" s="12">
        <f>SUBTOTAL(109,LTBL_27116[法人以外の団体／事業所数])</f>
        <v>11</v>
      </c>
    </row>
    <row r="21" spans="2:9" ht="15" customHeight="1" x14ac:dyDescent="0.2">
      <c r="E21" s="11">
        <f>LTBL_27116[[#Totals],[個人／事業所数]]/LTBL_27116[[#Totals],[総数／事業所数]]</f>
        <v>0.60970327052198392</v>
      </c>
      <c r="G21" s="11">
        <f>LTBL_27116[[#Totals],[法人／事業所数]]/LTBL_27116[[#Totals],[総数／事業所数]]</f>
        <v>0.38748104829976177</v>
      </c>
      <c r="I21" s="11">
        <f>LTBL_27116[[#Totals],[法人以外の団体／事業所数]]/LTBL_27116[[#Totals],[総数／事業所数]]</f>
        <v>2.3824994585228505E-3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113</v>
      </c>
      <c r="C24" s="12">
        <v>488</v>
      </c>
      <c r="D24" s="8">
        <v>10.57</v>
      </c>
      <c r="E24" s="12">
        <v>448</v>
      </c>
      <c r="F24" s="8">
        <v>15.91</v>
      </c>
      <c r="G24" s="12">
        <v>40</v>
      </c>
      <c r="H24" s="8">
        <v>2.2400000000000002</v>
      </c>
      <c r="I24" s="12">
        <v>0</v>
      </c>
    </row>
    <row r="25" spans="2:9" ht="15" customHeight="1" x14ac:dyDescent="0.2">
      <c r="B25" t="s">
        <v>110</v>
      </c>
      <c r="C25" s="12">
        <v>467</v>
      </c>
      <c r="D25" s="8">
        <v>10.11</v>
      </c>
      <c r="E25" s="12">
        <v>213</v>
      </c>
      <c r="F25" s="8">
        <v>7.57</v>
      </c>
      <c r="G25" s="12">
        <v>253</v>
      </c>
      <c r="H25" s="8">
        <v>14.14</v>
      </c>
      <c r="I25" s="12">
        <v>1</v>
      </c>
    </row>
    <row r="26" spans="2:9" ht="15" customHeight="1" x14ac:dyDescent="0.2">
      <c r="B26" t="s">
        <v>101</v>
      </c>
      <c r="C26" s="12">
        <v>342</v>
      </c>
      <c r="D26" s="8">
        <v>7.41</v>
      </c>
      <c r="E26" s="12">
        <v>198</v>
      </c>
      <c r="F26" s="8">
        <v>7.03</v>
      </c>
      <c r="G26" s="12">
        <v>144</v>
      </c>
      <c r="H26" s="8">
        <v>8.0500000000000007</v>
      </c>
      <c r="I26" s="12">
        <v>0</v>
      </c>
    </row>
    <row r="27" spans="2:9" ht="15" customHeight="1" x14ac:dyDescent="0.2">
      <c r="B27" t="s">
        <v>114</v>
      </c>
      <c r="C27" s="12">
        <v>291</v>
      </c>
      <c r="D27" s="8">
        <v>6.3</v>
      </c>
      <c r="E27" s="12">
        <v>259</v>
      </c>
      <c r="F27" s="8">
        <v>9.1999999999999993</v>
      </c>
      <c r="G27" s="12">
        <v>32</v>
      </c>
      <c r="H27" s="8">
        <v>1.79</v>
      </c>
      <c r="I27" s="12">
        <v>0</v>
      </c>
    </row>
    <row r="28" spans="2:9" ht="15" customHeight="1" x14ac:dyDescent="0.2">
      <c r="B28" t="s">
        <v>108</v>
      </c>
      <c r="C28" s="12">
        <v>252</v>
      </c>
      <c r="D28" s="8">
        <v>5.46</v>
      </c>
      <c r="E28" s="12">
        <v>194</v>
      </c>
      <c r="F28" s="8">
        <v>6.89</v>
      </c>
      <c r="G28" s="12">
        <v>58</v>
      </c>
      <c r="H28" s="8">
        <v>3.24</v>
      </c>
      <c r="I28" s="12">
        <v>0</v>
      </c>
    </row>
    <row r="29" spans="2:9" ht="15" customHeight="1" x14ac:dyDescent="0.2">
      <c r="B29" t="s">
        <v>106</v>
      </c>
      <c r="C29" s="12">
        <v>246</v>
      </c>
      <c r="D29" s="8">
        <v>5.33</v>
      </c>
      <c r="E29" s="12">
        <v>204</v>
      </c>
      <c r="F29" s="8">
        <v>7.25</v>
      </c>
      <c r="G29" s="12">
        <v>42</v>
      </c>
      <c r="H29" s="8">
        <v>2.35</v>
      </c>
      <c r="I29" s="12">
        <v>0</v>
      </c>
    </row>
    <row r="30" spans="2:9" ht="15" customHeight="1" x14ac:dyDescent="0.2">
      <c r="B30" t="s">
        <v>116</v>
      </c>
      <c r="C30" s="12">
        <v>157</v>
      </c>
      <c r="D30" s="8">
        <v>3.4</v>
      </c>
      <c r="E30" s="12">
        <v>139</v>
      </c>
      <c r="F30" s="8">
        <v>4.9400000000000004</v>
      </c>
      <c r="G30" s="12">
        <v>18</v>
      </c>
      <c r="H30" s="8">
        <v>1.01</v>
      </c>
      <c r="I30" s="12">
        <v>0</v>
      </c>
    </row>
    <row r="31" spans="2:9" ht="15" customHeight="1" x14ac:dyDescent="0.2">
      <c r="B31" t="s">
        <v>132</v>
      </c>
      <c r="C31" s="12">
        <v>119</v>
      </c>
      <c r="D31" s="8">
        <v>2.58</v>
      </c>
      <c r="E31" s="12">
        <v>70</v>
      </c>
      <c r="F31" s="8">
        <v>2.4900000000000002</v>
      </c>
      <c r="G31" s="12">
        <v>49</v>
      </c>
      <c r="H31" s="8">
        <v>2.74</v>
      </c>
      <c r="I31" s="12">
        <v>0</v>
      </c>
    </row>
    <row r="32" spans="2:9" ht="15" customHeight="1" x14ac:dyDescent="0.2">
      <c r="B32" t="s">
        <v>121</v>
      </c>
      <c r="C32" s="12">
        <v>112</v>
      </c>
      <c r="D32" s="8">
        <v>2.4300000000000002</v>
      </c>
      <c r="E32" s="12">
        <v>53</v>
      </c>
      <c r="F32" s="8">
        <v>1.88</v>
      </c>
      <c r="G32" s="12">
        <v>59</v>
      </c>
      <c r="H32" s="8">
        <v>3.3</v>
      </c>
      <c r="I32" s="12">
        <v>0</v>
      </c>
    </row>
    <row r="33" spans="2:9" ht="15" customHeight="1" x14ac:dyDescent="0.2">
      <c r="B33" t="s">
        <v>98</v>
      </c>
      <c r="C33" s="12">
        <v>107</v>
      </c>
      <c r="D33" s="8">
        <v>2.3199999999999998</v>
      </c>
      <c r="E33" s="12">
        <v>28</v>
      </c>
      <c r="F33" s="8">
        <v>0.99</v>
      </c>
      <c r="G33" s="12">
        <v>79</v>
      </c>
      <c r="H33" s="8">
        <v>4.42</v>
      </c>
      <c r="I33" s="12">
        <v>0</v>
      </c>
    </row>
    <row r="34" spans="2:9" ht="15" customHeight="1" x14ac:dyDescent="0.2">
      <c r="B34" t="s">
        <v>105</v>
      </c>
      <c r="C34" s="12">
        <v>104</v>
      </c>
      <c r="D34" s="8">
        <v>2.25</v>
      </c>
      <c r="E34" s="12">
        <v>85</v>
      </c>
      <c r="F34" s="8">
        <v>3.02</v>
      </c>
      <c r="G34" s="12">
        <v>19</v>
      </c>
      <c r="H34" s="8">
        <v>1.06</v>
      </c>
      <c r="I34" s="12">
        <v>0</v>
      </c>
    </row>
    <row r="35" spans="2:9" ht="15" customHeight="1" x14ac:dyDescent="0.2">
      <c r="B35" t="s">
        <v>133</v>
      </c>
      <c r="C35" s="12">
        <v>98</v>
      </c>
      <c r="D35" s="8">
        <v>2.12</v>
      </c>
      <c r="E35" s="12">
        <v>69</v>
      </c>
      <c r="F35" s="8">
        <v>2.4500000000000002</v>
      </c>
      <c r="G35" s="12">
        <v>29</v>
      </c>
      <c r="H35" s="8">
        <v>1.62</v>
      </c>
      <c r="I35" s="12">
        <v>0</v>
      </c>
    </row>
    <row r="36" spans="2:9" ht="15" customHeight="1" x14ac:dyDescent="0.2">
      <c r="B36" t="s">
        <v>127</v>
      </c>
      <c r="C36" s="12">
        <v>96</v>
      </c>
      <c r="D36" s="8">
        <v>2.08</v>
      </c>
      <c r="E36" s="12">
        <v>43</v>
      </c>
      <c r="F36" s="8">
        <v>1.53</v>
      </c>
      <c r="G36" s="12">
        <v>53</v>
      </c>
      <c r="H36" s="8">
        <v>2.96</v>
      </c>
      <c r="I36" s="12">
        <v>0</v>
      </c>
    </row>
    <row r="37" spans="2:9" ht="15" customHeight="1" x14ac:dyDescent="0.2">
      <c r="B37" t="s">
        <v>104</v>
      </c>
      <c r="C37" s="12">
        <v>95</v>
      </c>
      <c r="D37" s="8">
        <v>2.06</v>
      </c>
      <c r="E37" s="12">
        <v>34</v>
      </c>
      <c r="F37" s="8">
        <v>1.21</v>
      </c>
      <c r="G37" s="12">
        <v>61</v>
      </c>
      <c r="H37" s="8">
        <v>3.41</v>
      </c>
      <c r="I37" s="12">
        <v>0</v>
      </c>
    </row>
    <row r="38" spans="2:9" ht="15" customHeight="1" x14ac:dyDescent="0.2">
      <c r="B38" t="s">
        <v>100</v>
      </c>
      <c r="C38" s="12">
        <v>94</v>
      </c>
      <c r="D38" s="8">
        <v>2.04</v>
      </c>
      <c r="E38" s="12">
        <v>25</v>
      </c>
      <c r="F38" s="8">
        <v>0.89</v>
      </c>
      <c r="G38" s="12">
        <v>69</v>
      </c>
      <c r="H38" s="8">
        <v>3.86</v>
      </c>
      <c r="I38" s="12">
        <v>0</v>
      </c>
    </row>
    <row r="39" spans="2:9" ht="15" customHeight="1" x14ac:dyDescent="0.2">
      <c r="B39" t="s">
        <v>107</v>
      </c>
      <c r="C39" s="12">
        <v>91</v>
      </c>
      <c r="D39" s="8">
        <v>1.97</v>
      </c>
      <c r="E39" s="12">
        <v>65</v>
      </c>
      <c r="F39" s="8">
        <v>2.31</v>
      </c>
      <c r="G39" s="12">
        <v>26</v>
      </c>
      <c r="H39" s="8">
        <v>1.45</v>
      </c>
      <c r="I39" s="12">
        <v>0</v>
      </c>
    </row>
    <row r="40" spans="2:9" ht="15" customHeight="1" x14ac:dyDescent="0.2">
      <c r="B40" t="s">
        <v>134</v>
      </c>
      <c r="C40" s="12">
        <v>89</v>
      </c>
      <c r="D40" s="8">
        <v>1.93</v>
      </c>
      <c r="E40" s="12">
        <v>45</v>
      </c>
      <c r="F40" s="8">
        <v>1.6</v>
      </c>
      <c r="G40" s="12">
        <v>44</v>
      </c>
      <c r="H40" s="8">
        <v>2.46</v>
      </c>
      <c r="I40" s="12">
        <v>0</v>
      </c>
    </row>
    <row r="41" spans="2:9" ht="15" customHeight="1" x14ac:dyDescent="0.2">
      <c r="B41" t="s">
        <v>99</v>
      </c>
      <c r="C41" s="12">
        <v>88</v>
      </c>
      <c r="D41" s="8">
        <v>1.91</v>
      </c>
      <c r="E41" s="12">
        <v>35</v>
      </c>
      <c r="F41" s="8">
        <v>1.24</v>
      </c>
      <c r="G41" s="12">
        <v>53</v>
      </c>
      <c r="H41" s="8">
        <v>2.96</v>
      </c>
      <c r="I41" s="12">
        <v>0</v>
      </c>
    </row>
    <row r="42" spans="2:9" ht="15" customHeight="1" x14ac:dyDescent="0.2">
      <c r="B42" t="s">
        <v>120</v>
      </c>
      <c r="C42" s="12">
        <v>83</v>
      </c>
      <c r="D42" s="8">
        <v>1.8</v>
      </c>
      <c r="E42" s="12">
        <v>62</v>
      </c>
      <c r="F42" s="8">
        <v>2.2000000000000002</v>
      </c>
      <c r="G42" s="12">
        <v>21</v>
      </c>
      <c r="H42" s="8">
        <v>1.17</v>
      </c>
      <c r="I42" s="12">
        <v>0</v>
      </c>
    </row>
    <row r="43" spans="2:9" ht="15" customHeight="1" x14ac:dyDescent="0.2">
      <c r="B43" t="s">
        <v>117</v>
      </c>
      <c r="C43" s="12">
        <v>82</v>
      </c>
      <c r="D43" s="8">
        <v>1.78</v>
      </c>
      <c r="E43" s="12">
        <v>0</v>
      </c>
      <c r="F43" s="8">
        <v>0</v>
      </c>
      <c r="G43" s="12">
        <v>74</v>
      </c>
      <c r="H43" s="8">
        <v>4.1399999999999997</v>
      </c>
      <c r="I43" s="12">
        <v>8</v>
      </c>
    </row>
    <row r="46" spans="2:9" ht="33" customHeight="1" x14ac:dyDescent="0.2">
      <c r="B46" t="s">
        <v>273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160</v>
      </c>
      <c r="C47" s="12">
        <v>231</v>
      </c>
      <c r="D47" s="8">
        <v>5</v>
      </c>
      <c r="E47" s="12">
        <v>99</v>
      </c>
      <c r="F47" s="8">
        <v>3.52</v>
      </c>
      <c r="G47" s="12">
        <v>132</v>
      </c>
      <c r="H47" s="8">
        <v>7.38</v>
      </c>
      <c r="I47" s="12">
        <v>0</v>
      </c>
    </row>
    <row r="48" spans="2:9" ht="15" customHeight="1" x14ac:dyDescent="0.2">
      <c r="B48" t="s">
        <v>167</v>
      </c>
      <c r="C48" s="12">
        <v>139</v>
      </c>
      <c r="D48" s="8">
        <v>3.01</v>
      </c>
      <c r="E48" s="12">
        <v>129</v>
      </c>
      <c r="F48" s="8">
        <v>4.58</v>
      </c>
      <c r="G48" s="12">
        <v>10</v>
      </c>
      <c r="H48" s="8">
        <v>0.56000000000000005</v>
      </c>
      <c r="I48" s="12">
        <v>0</v>
      </c>
    </row>
    <row r="49" spans="2:9" ht="15" customHeight="1" x14ac:dyDescent="0.2">
      <c r="B49" t="s">
        <v>161</v>
      </c>
      <c r="C49" s="12">
        <v>137</v>
      </c>
      <c r="D49" s="8">
        <v>2.97</v>
      </c>
      <c r="E49" s="12">
        <v>105</v>
      </c>
      <c r="F49" s="8">
        <v>3.73</v>
      </c>
      <c r="G49" s="12">
        <v>32</v>
      </c>
      <c r="H49" s="8">
        <v>1.79</v>
      </c>
      <c r="I49" s="12">
        <v>0</v>
      </c>
    </row>
    <row r="50" spans="2:9" ht="15" customHeight="1" x14ac:dyDescent="0.2">
      <c r="B50" t="s">
        <v>169</v>
      </c>
      <c r="C50" s="12">
        <v>124</v>
      </c>
      <c r="D50" s="8">
        <v>2.69</v>
      </c>
      <c r="E50" s="12">
        <v>108</v>
      </c>
      <c r="F50" s="8">
        <v>3.84</v>
      </c>
      <c r="G50" s="12">
        <v>16</v>
      </c>
      <c r="H50" s="8">
        <v>0.89</v>
      </c>
      <c r="I50" s="12">
        <v>0</v>
      </c>
    </row>
    <row r="51" spans="2:9" ht="15" customHeight="1" x14ac:dyDescent="0.2">
      <c r="B51" t="s">
        <v>171</v>
      </c>
      <c r="C51" s="12">
        <v>124</v>
      </c>
      <c r="D51" s="8">
        <v>2.69</v>
      </c>
      <c r="E51" s="12">
        <v>113</v>
      </c>
      <c r="F51" s="8">
        <v>4.01</v>
      </c>
      <c r="G51" s="12">
        <v>11</v>
      </c>
      <c r="H51" s="8">
        <v>0.61</v>
      </c>
      <c r="I51" s="12">
        <v>0</v>
      </c>
    </row>
    <row r="52" spans="2:9" ht="15" customHeight="1" x14ac:dyDescent="0.2">
      <c r="B52" t="s">
        <v>156</v>
      </c>
      <c r="C52" s="12">
        <v>106</v>
      </c>
      <c r="D52" s="8">
        <v>2.2999999999999998</v>
      </c>
      <c r="E52" s="12">
        <v>89</v>
      </c>
      <c r="F52" s="8">
        <v>3.16</v>
      </c>
      <c r="G52" s="12">
        <v>17</v>
      </c>
      <c r="H52" s="8">
        <v>0.95</v>
      </c>
      <c r="I52" s="12">
        <v>0</v>
      </c>
    </row>
    <row r="53" spans="2:9" ht="15" customHeight="1" x14ac:dyDescent="0.2">
      <c r="B53" t="s">
        <v>164</v>
      </c>
      <c r="C53" s="12">
        <v>104</v>
      </c>
      <c r="D53" s="8">
        <v>2.25</v>
      </c>
      <c r="E53" s="12">
        <v>93</v>
      </c>
      <c r="F53" s="8">
        <v>3.3</v>
      </c>
      <c r="G53" s="12">
        <v>11</v>
      </c>
      <c r="H53" s="8">
        <v>0.61</v>
      </c>
      <c r="I53" s="12">
        <v>0</v>
      </c>
    </row>
    <row r="54" spans="2:9" ht="15" customHeight="1" x14ac:dyDescent="0.2">
      <c r="B54" t="s">
        <v>157</v>
      </c>
      <c r="C54" s="12">
        <v>91</v>
      </c>
      <c r="D54" s="8">
        <v>1.97</v>
      </c>
      <c r="E54" s="12">
        <v>81</v>
      </c>
      <c r="F54" s="8">
        <v>2.88</v>
      </c>
      <c r="G54" s="12">
        <v>10</v>
      </c>
      <c r="H54" s="8">
        <v>0.56000000000000005</v>
      </c>
      <c r="I54" s="12">
        <v>0</v>
      </c>
    </row>
    <row r="55" spans="2:9" ht="15" customHeight="1" x14ac:dyDescent="0.2">
      <c r="B55" t="s">
        <v>168</v>
      </c>
      <c r="C55" s="12">
        <v>85</v>
      </c>
      <c r="D55" s="8">
        <v>1.84</v>
      </c>
      <c r="E55" s="12">
        <v>84</v>
      </c>
      <c r="F55" s="8">
        <v>2.98</v>
      </c>
      <c r="G55" s="12">
        <v>1</v>
      </c>
      <c r="H55" s="8">
        <v>0.06</v>
      </c>
      <c r="I55" s="12">
        <v>0</v>
      </c>
    </row>
    <row r="56" spans="2:9" ht="15" customHeight="1" x14ac:dyDescent="0.2">
      <c r="B56" t="s">
        <v>165</v>
      </c>
      <c r="C56" s="12">
        <v>83</v>
      </c>
      <c r="D56" s="8">
        <v>1.8</v>
      </c>
      <c r="E56" s="12">
        <v>77</v>
      </c>
      <c r="F56" s="8">
        <v>2.74</v>
      </c>
      <c r="G56" s="12">
        <v>6</v>
      </c>
      <c r="H56" s="8">
        <v>0.34</v>
      </c>
      <c r="I56" s="12">
        <v>0</v>
      </c>
    </row>
    <row r="57" spans="2:9" ht="15" customHeight="1" x14ac:dyDescent="0.2">
      <c r="B57" t="s">
        <v>175</v>
      </c>
      <c r="C57" s="12">
        <v>82</v>
      </c>
      <c r="D57" s="8">
        <v>1.78</v>
      </c>
      <c r="E57" s="12">
        <v>37</v>
      </c>
      <c r="F57" s="8">
        <v>1.31</v>
      </c>
      <c r="G57" s="12">
        <v>45</v>
      </c>
      <c r="H57" s="8">
        <v>2.52</v>
      </c>
      <c r="I57" s="12">
        <v>0</v>
      </c>
    </row>
    <row r="58" spans="2:9" ht="15" customHeight="1" x14ac:dyDescent="0.2">
      <c r="B58" t="s">
        <v>208</v>
      </c>
      <c r="C58" s="12">
        <v>81</v>
      </c>
      <c r="D58" s="8">
        <v>1.75</v>
      </c>
      <c r="E58" s="12">
        <v>51</v>
      </c>
      <c r="F58" s="8">
        <v>1.81</v>
      </c>
      <c r="G58" s="12">
        <v>30</v>
      </c>
      <c r="H58" s="8">
        <v>1.68</v>
      </c>
      <c r="I58" s="12">
        <v>0</v>
      </c>
    </row>
    <row r="59" spans="2:9" ht="15" customHeight="1" x14ac:dyDescent="0.2">
      <c r="B59" t="s">
        <v>202</v>
      </c>
      <c r="C59" s="12">
        <v>69</v>
      </c>
      <c r="D59" s="8">
        <v>1.49</v>
      </c>
      <c r="E59" s="12">
        <v>30</v>
      </c>
      <c r="F59" s="8">
        <v>1.07</v>
      </c>
      <c r="G59" s="12">
        <v>39</v>
      </c>
      <c r="H59" s="8">
        <v>2.1800000000000002</v>
      </c>
      <c r="I59" s="12">
        <v>0</v>
      </c>
    </row>
    <row r="60" spans="2:9" ht="15" customHeight="1" x14ac:dyDescent="0.2">
      <c r="B60" t="s">
        <v>207</v>
      </c>
      <c r="C60" s="12">
        <v>65</v>
      </c>
      <c r="D60" s="8">
        <v>1.41</v>
      </c>
      <c r="E60" s="12">
        <v>57</v>
      </c>
      <c r="F60" s="8">
        <v>2.02</v>
      </c>
      <c r="G60" s="12">
        <v>8</v>
      </c>
      <c r="H60" s="8">
        <v>0.45</v>
      </c>
      <c r="I60" s="12">
        <v>0</v>
      </c>
    </row>
    <row r="61" spans="2:9" ht="15" customHeight="1" x14ac:dyDescent="0.2">
      <c r="B61" t="s">
        <v>183</v>
      </c>
      <c r="C61" s="12">
        <v>63</v>
      </c>
      <c r="D61" s="8">
        <v>1.36</v>
      </c>
      <c r="E61" s="12">
        <v>60</v>
      </c>
      <c r="F61" s="8">
        <v>2.13</v>
      </c>
      <c r="G61" s="12">
        <v>3</v>
      </c>
      <c r="H61" s="8">
        <v>0.17</v>
      </c>
      <c r="I61" s="12">
        <v>0</v>
      </c>
    </row>
    <row r="62" spans="2:9" ht="15" customHeight="1" x14ac:dyDescent="0.2">
      <c r="B62" t="s">
        <v>158</v>
      </c>
      <c r="C62" s="12">
        <v>60</v>
      </c>
      <c r="D62" s="8">
        <v>1.3</v>
      </c>
      <c r="E62" s="12">
        <v>15</v>
      </c>
      <c r="F62" s="8">
        <v>0.53</v>
      </c>
      <c r="G62" s="12">
        <v>45</v>
      </c>
      <c r="H62" s="8">
        <v>2.52</v>
      </c>
      <c r="I62" s="12">
        <v>0</v>
      </c>
    </row>
    <row r="63" spans="2:9" ht="15" customHeight="1" x14ac:dyDescent="0.2">
      <c r="B63" t="s">
        <v>154</v>
      </c>
      <c r="C63" s="12">
        <v>59</v>
      </c>
      <c r="D63" s="8">
        <v>1.28</v>
      </c>
      <c r="E63" s="12">
        <v>18</v>
      </c>
      <c r="F63" s="8">
        <v>0.64</v>
      </c>
      <c r="G63" s="12">
        <v>41</v>
      </c>
      <c r="H63" s="8">
        <v>2.29</v>
      </c>
      <c r="I63" s="12">
        <v>0</v>
      </c>
    </row>
    <row r="64" spans="2:9" ht="15" customHeight="1" x14ac:dyDescent="0.2">
      <c r="B64" t="s">
        <v>176</v>
      </c>
      <c r="C64" s="12">
        <v>59</v>
      </c>
      <c r="D64" s="8">
        <v>1.28</v>
      </c>
      <c r="E64" s="12">
        <v>35</v>
      </c>
      <c r="F64" s="8">
        <v>1.24</v>
      </c>
      <c r="G64" s="12">
        <v>24</v>
      </c>
      <c r="H64" s="8">
        <v>1.34</v>
      </c>
      <c r="I64" s="12">
        <v>0</v>
      </c>
    </row>
    <row r="65" spans="2:9" ht="15" customHeight="1" x14ac:dyDescent="0.2">
      <c r="B65" t="s">
        <v>153</v>
      </c>
      <c r="C65" s="12">
        <v>57</v>
      </c>
      <c r="D65" s="8">
        <v>1.23</v>
      </c>
      <c r="E65" s="12">
        <v>16</v>
      </c>
      <c r="F65" s="8">
        <v>0.56999999999999995</v>
      </c>
      <c r="G65" s="12">
        <v>41</v>
      </c>
      <c r="H65" s="8">
        <v>2.29</v>
      </c>
      <c r="I65" s="12">
        <v>0</v>
      </c>
    </row>
    <row r="66" spans="2:9" ht="15" customHeight="1" x14ac:dyDescent="0.2">
      <c r="B66" t="s">
        <v>209</v>
      </c>
      <c r="C66" s="12">
        <v>55</v>
      </c>
      <c r="D66" s="8">
        <v>1.19</v>
      </c>
      <c r="E66" s="12">
        <v>0</v>
      </c>
      <c r="F66" s="8">
        <v>0</v>
      </c>
      <c r="G66" s="12">
        <v>47</v>
      </c>
      <c r="H66" s="8">
        <v>2.63</v>
      </c>
      <c r="I66" s="12">
        <v>8</v>
      </c>
    </row>
    <row r="68" spans="2:9" ht="15" customHeight="1" x14ac:dyDescent="0.2">
      <c r="B68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DFD22-840F-4C25-8435-60BE1002141F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288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208</v>
      </c>
      <c r="D6" s="8">
        <v>9.94</v>
      </c>
      <c r="E6" s="12">
        <v>43</v>
      </c>
      <c r="F6" s="8">
        <v>3.51</v>
      </c>
      <c r="G6" s="12">
        <v>165</v>
      </c>
      <c r="H6" s="8">
        <v>19.079999999999998</v>
      </c>
      <c r="I6" s="12">
        <v>0</v>
      </c>
    </row>
    <row r="7" spans="2:9" ht="15" customHeight="1" x14ac:dyDescent="0.2">
      <c r="B7" t="s">
        <v>77</v>
      </c>
      <c r="C7" s="12">
        <v>207</v>
      </c>
      <c r="D7" s="8">
        <v>9.89</v>
      </c>
      <c r="E7" s="12">
        <v>80</v>
      </c>
      <c r="F7" s="8">
        <v>6.53</v>
      </c>
      <c r="G7" s="12">
        <v>127</v>
      </c>
      <c r="H7" s="8">
        <v>14.68</v>
      </c>
      <c r="I7" s="12">
        <v>0</v>
      </c>
    </row>
    <row r="8" spans="2:9" ht="15" customHeight="1" x14ac:dyDescent="0.2">
      <c r="B8" t="s">
        <v>78</v>
      </c>
      <c r="C8" s="12">
        <v>1</v>
      </c>
      <c r="D8" s="8">
        <v>0.05</v>
      </c>
      <c r="E8" s="12">
        <v>0</v>
      </c>
      <c r="F8" s="8">
        <v>0</v>
      </c>
      <c r="G8" s="12">
        <v>1</v>
      </c>
      <c r="H8" s="8">
        <v>0.12</v>
      </c>
      <c r="I8" s="12">
        <v>0</v>
      </c>
    </row>
    <row r="9" spans="2:9" ht="15" customHeight="1" x14ac:dyDescent="0.2">
      <c r="B9" t="s">
        <v>79</v>
      </c>
      <c r="C9" s="12">
        <v>14</v>
      </c>
      <c r="D9" s="8">
        <v>0.67</v>
      </c>
      <c r="E9" s="12">
        <v>1</v>
      </c>
      <c r="F9" s="8">
        <v>0.08</v>
      </c>
      <c r="G9" s="12">
        <v>13</v>
      </c>
      <c r="H9" s="8">
        <v>1.5</v>
      </c>
      <c r="I9" s="12">
        <v>0</v>
      </c>
    </row>
    <row r="10" spans="2:9" ht="15" customHeight="1" x14ac:dyDescent="0.2">
      <c r="B10" t="s">
        <v>80</v>
      </c>
      <c r="C10" s="12">
        <v>32</v>
      </c>
      <c r="D10" s="8">
        <v>1.53</v>
      </c>
      <c r="E10" s="12">
        <v>19</v>
      </c>
      <c r="F10" s="8">
        <v>1.55</v>
      </c>
      <c r="G10" s="12">
        <v>13</v>
      </c>
      <c r="H10" s="8">
        <v>1.5</v>
      </c>
      <c r="I10" s="12">
        <v>0</v>
      </c>
    </row>
    <row r="11" spans="2:9" ht="15" customHeight="1" x14ac:dyDescent="0.2">
      <c r="B11" t="s">
        <v>81</v>
      </c>
      <c r="C11" s="12">
        <v>502</v>
      </c>
      <c r="D11" s="8">
        <v>24</v>
      </c>
      <c r="E11" s="12">
        <v>289</v>
      </c>
      <c r="F11" s="8">
        <v>23.59</v>
      </c>
      <c r="G11" s="12">
        <v>213</v>
      </c>
      <c r="H11" s="8">
        <v>24.62</v>
      </c>
      <c r="I11" s="12">
        <v>0</v>
      </c>
    </row>
    <row r="12" spans="2:9" ht="15" customHeight="1" x14ac:dyDescent="0.2">
      <c r="B12" t="s">
        <v>82</v>
      </c>
      <c r="C12" s="12">
        <v>9</v>
      </c>
      <c r="D12" s="8">
        <v>0.43</v>
      </c>
      <c r="E12" s="12">
        <v>2</v>
      </c>
      <c r="F12" s="8">
        <v>0.16</v>
      </c>
      <c r="G12" s="12">
        <v>7</v>
      </c>
      <c r="H12" s="8">
        <v>0.81</v>
      </c>
      <c r="I12" s="12">
        <v>0</v>
      </c>
    </row>
    <row r="13" spans="2:9" ht="15" customHeight="1" x14ac:dyDescent="0.2">
      <c r="B13" t="s">
        <v>83</v>
      </c>
      <c r="C13" s="12">
        <v>302</v>
      </c>
      <c r="D13" s="8">
        <v>14.44</v>
      </c>
      <c r="E13" s="12">
        <v>150</v>
      </c>
      <c r="F13" s="8">
        <v>12.24</v>
      </c>
      <c r="G13" s="12">
        <v>152</v>
      </c>
      <c r="H13" s="8">
        <v>17.57</v>
      </c>
      <c r="I13" s="12">
        <v>0</v>
      </c>
    </row>
    <row r="14" spans="2:9" ht="15" customHeight="1" x14ac:dyDescent="0.2">
      <c r="B14" t="s">
        <v>84</v>
      </c>
      <c r="C14" s="12">
        <v>78</v>
      </c>
      <c r="D14" s="8">
        <v>3.73</v>
      </c>
      <c r="E14" s="12">
        <v>47</v>
      </c>
      <c r="F14" s="8">
        <v>3.84</v>
      </c>
      <c r="G14" s="12">
        <v>31</v>
      </c>
      <c r="H14" s="8">
        <v>3.58</v>
      </c>
      <c r="I14" s="12">
        <v>0</v>
      </c>
    </row>
    <row r="15" spans="2:9" ht="15" customHeight="1" x14ac:dyDescent="0.2">
      <c r="B15" t="s">
        <v>85</v>
      </c>
      <c r="C15" s="12">
        <v>287</v>
      </c>
      <c r="D15" s="8">
        <v>13.72</v>
      </c>
      <c r="E15" s="12">
        <v>261</v>
      </c>
      <c r="F15" s="8">
        <v>21.31</v>
      </c>
      <c r="G15" s="12">
        <v>26</v>
      </c>
      <c r="H15" s="8">
        <v>3.01</v>
      </c>
      <c r="I15" s="12">
        <v>0</v>
      </c>
    </row>
    <row r="16" spans="2:9" ht="15" customHeight="1" x14ac:dyDescent="0.2">
      <c r="B16" t="s">
        <v>86</v>
      </c>
      <c r="C16" s="12">
        <v>209</v>
      </c>
      <c r="D16" s="8">
        <v>9.99</v>
      </c>
      <c r="E16" s="12">
        <v>174</v>
      </c>
      <c r="F16" s="8">
        <v>14.2</v>
      </c>
      <c r="G16" s="12">
        <v>35</v>
      </c>
      <c r="H16" s="8">
        <v>4.05</v>
      </c>
      <c r="I16" s="12">
        <v>0</v>
      </c>
    </row>
    <row r="17" spans="2:9" ht="15" customHeight="1" x14ac:dyDescent="0.2">
      <c r="B17" t="s">
        <v>87</v>
      </c>
      <c r="C17" s="12">
        <v>48</v>
      </c>
      <c r="D17" s="8">
        <v>2.29</v>
      </c>
      <c r="E17" s="12">
        <v>39</v>
      </c>
      <c r="F17" s="8">
        <v>3.18</v>
      </c>
      <c r="G17" s="12">
        <v>8</v>
      </c>
      <c r="H17" s="8">
        <v>0.92</v>
      </c>
      <c r="I17" s="12">
        <v>0</v>
      </c>
    </row>
    <row r="18" spans="2:9" ht="15" customHeight="1" x14ac:dyDescent="0.2">
      <c r="B18" t="s">
        <v>88</v>
      </c>
      <c r="C18" s="12">
        <v>137</v>
      </c>
      <c r="D18" s="8">
        <v>6.55</v>
      </c>
      <c r="E18" s="12">
        <v>100</v>
      </c>
      <c r="F18" s="8">
        <v>8.16</v>
      </c>
      <c r="G18" s="12">
        <v>37</v>
      </c>
      <c r="H18" s="8">
        <v>4.28</v>
      </c>
      <c r="I18" s="12">
        <v>0</v>
      </c>
    </row>
    <row r="19" spans="2:9" ht="15" customHeight="1" x14ac:dyDescent="0.2">
      <c r="B19" t="s">
        <v>89</v>
      </c>
      <c r="C19" s="12">
        <v>58</v>
      </c>
      <c r="D19" s="8">
        <v>2.77</v>
      </c>
      <c r="E19" s="12">
        <v>20</v>
      </c>
      <c r="F19" s="8">
        <v>1.63</v>
      </c>
      <c r="G19" s="12">
        <v>37</v>
      </c>
      <c r="H19" s="8">
        <v>4.28</v>
      </c>
      <c r="I19" s="12">
        <v>1</v>
      </c>
    </row>
    <row r="20" spans="2:9" ht="15" customHeight="1" x14ac:dyDescent="0.2">
      <c r="B20" s="9" t="s">
        <v>271</v>
      </c>
      <c r="C20" s="12">
        <f>SUM(LTBL_27117[総数／事業所数])</f>
        <v>2092</v>
      </c>
      <c r="E20" s="12">
        <f>SUBTOTAL(109,LTBL_27117[個人／事業所数])</f>
        <v>1225</v>
      </c>
      <c r="G20" s="12">
        <f>SUBTOTAL(109,LTBL_27117[法人／事業所数])</f>
        <v>865</v>
      </c>
      <c r="I20" s="12">
        <f>SUBTOTAL(109,LTBL_27117[法人以外の団体／事業所数])</f>
        <v>1</v>
      </c>
    </row>
    <row r="21" spans="2:9" ht="15" customHeight="1" x14ac:dyDescent="0.2">
      <c r="E21" s="11">
        <f>LTBL_27117[[#Totals],[個人／事業所数]]/LTBL_27117[[#Totals],[総数／事業所数]]</f>
        <v>0.58556405353728491</v>
      </c>
      <c r="G21" s="11">
        <f>LTBL_27117[[#Totals],[法人／事業所数]]/LTBL_27117[[#Totals],[総数／事業所数]]</f>
        <v>0.41347992351816443</v>
      </c>
      <c r="I21" s="11">
        <f>LTBL_27117[[#Totals],[法人以外の団体／事業所数]]/LTBL_27117[[#Totals],[総数／事業所数]]</f>
        <v>4.7801147227533459E-4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113</v>
      </c>
      <c r="C24" s="12">
        <v>260</v>
      </c>
      <c r="D24" s="8">
        <v>12.43</v>
      </c>
      <c r="E24" s="12">
        <v>244</v>
      </c>
      <c r="F24" s="8">
        <v>19.920000000000002</v>
      </c>
      <c r="G24" s="12">
        <v>16</v>
      </c>
      <c r="H24" s="8">
        <v>1.85</v>
      </c>
      <c r="I24" s="12">
        <v>0</v>
      </c>
    </row>
    <row r="25" spans="2:9" ht="15" customHeight="1" x14ac:dyDescent="0.2">
      <c r="B25" t="s">
        <v>110</v>
      </c>
      <c r="C25" s="12">
        <v>251</v>
      </c>
      <c r="D25" s="8">
        <v>12</v>
      </c>
      <c r="E25" s="12">
        <v>141</v>
      </c>
      <c r="F25" s="8">
        <v>11.51</v>
      </c>
      <c r="G25" s="12">
        <v>110</v>
      </c>
      <c r="H25" s="8">
        <v>12.72</v>
      </c>
      <c r="I25" s="12">
        <v>0</v>
      </c>
    </row>
    <row r="26" spans="2:9" ht="15" customHeight="1" x14ac:dyDescent="0.2">
      <c r="B26" t="s">
        <v>114</v>
      </c>
      <c r="C26" s="12">
        <v>173</v>
      </c>
      <c r="D26" s="8">
        <v>8.27</v>
      </c>
      <c r="E26" s="12">
        <v>154</v>
      </c>
      <c r="F26" s="8">
        <v>12.57</v>
      </c>
      <c r="G26" s="12">
        <v>19</v>
      </c>
      <c r="H26" s="8">
        <v>2.2000000000000002</v>
      </c>
      <c r="I26" s="12">
        <v>0</v>
      </c>
    </row>
    <row r="27" spans="2:9" ht="15" customHeight="1" x14ac:dyDescent="0.2">
      <c r="B27" t="s">
        <v>108</v>
      </c>
      <c r="C27" s="12">
        <v>142</v>
      </c>
      <c r="D27" s="8">
        <v>6.79</v>
      </c>
      <c r="E27" s="12">
        <v>103</v>
      </c>
      <c r="F27" s="8">
        <v>8.41</v>
      </c>
      <c r="G27" s="12">
        <v>39</v>
      </c>
      <c r="H27" s="8">
        <v>4.51</v>
      </c>
      <c r="I27" s="12">
        <v>0</v>
      </c>
    </row>
    <row r="28" spans="2:9" ht="15" customHeight="1" x14ac:dyDescent="0.2">
      <c r="B28" t="s">
        <v>106</v>
      </c>
      <c r="C28" s="12">
        <v>120</v>
      </c>
      <c r="D28" s="8">
        <v>5.74</v>
      </c>
      <c r="E28" s="12">
        <v>95</v>
      </c>
      <c r="F28" s="8">
        <v>7.76</v>
      </c>
      <c r="G28" s="12">
        <v>25</v>
      </c>
      <c r="H28" s="8">
        <v>2.89</v>
      </c>
      <c r="I28" s="12">
        <v>0</v>
      </c>
    </row>
    <row r="29" spans="2:9" ht="15" customHeight="1" x14ac:dyDescent="0.2">
      <c r="B29" t="s">
        <v>116</v>
      </c>
      <c r="C29" s="12">
        <v>107</v>
      </c>
      <c r="D29" s="8">
        <v>5.1100000000000003</v>
      </c>
      <c r="E29" s="12">
        <v>98</v>
      </c>
      <c r="F29" s="8">
        <v>8</v>
      </c>
      <c r="G29" s="12">
        <v>9</v>
      </c>
      <c r="H29" s="8">
        <v>1.04</v>
      </c>
      <c r="I29" s="12">
        <v>0</v>
      </c>
    </row>
    <row r="30" spans="2:9" ht="15" customHeight="1" x14ac:dyDescent="0.2">
      <c r="B30" t="s">
        <v>98</v>
      </c>
      <c r="C30" s="12">
        <v>74</v>
      </c>
      <c r="D30" s="8">
        <v>3.54</v>
      </c>
      <c r="E30" s="12">
        <v>17</v>
      </c>
      <c r="F30" s="8">
        <v>1.39</v>
      </c>
      <c r="G30" s="12">
        <v>57</v>
      </c>
      <c r="H30" s="8">
        <v>6.59</v>
      </c>
      <c r="I30" s="12">
        <v>0</v>
      </c>
    </row>
    <row r="31" spans="2:9" ht="15" customHeight="1" x14ac:dyDescent="0.2">
      <c r="B31" t="s">
        <v>100</v>
      </c>
      <c r="C31" s="12">
        <v>71</v>
      </c>
      <c r="D31" s="8">
        <v>3.39</v>
      </c>
      <c r="E31" s="12">
        <v>11</v>
      </c>
      <c r="F31" s="8">
        <v>0.9</v>
      </c>
      <c r="G31" s="12">
        <v>60</v>
      </c>
      <c r="H31" s="8">
        <v>6.94</v>
      </c>
      <c r="I31" s="12">
        <v>0</v>
      </c>
    </row>
    <row r="32" spans="2:9" ht="15" customHeight="1" x14ac:dyDescent="0.2">
      <c r="B32" t="s">
        <v>105</v>
      </c>
      <c r="C32" s="12">
        <v>69</v>
      </c>
      <c r="D32" s="8">
        <v>3.3</v>
      </c>
      <c r="E32" s="12">
        <v>36</v>
      </c>
      <c r="F32" s="8">
        <v>2.94</v>
      </c>
      <c r="G32" s="12">
        <v>33</v>
      </c>
      <c r="H32" s="8">
        <v>3.82</v>
      </c>
      <c r="I32" s="12">
        <v>0</v>
      </c>
    </row>
    <row r="33" spans="2:9" ht="15" customHeight="1" x14ac:dyDescent="0.2">
      <c r="B33" t="s">
        <v>99</v>
      </c>
      <c r="C33" s="12">
        <v>63</v>
      </c>
      <c r="D33" s="8">
        <v>3.01</v>
      </c>
      <c r="E33" s="12">
        <v>15</v>
      </c>
      <c r="F33" s="8">
        <v>1.22</v>
      </c>
      <c r="G33" s="12">
        <v>48</v>
      </c>
      <c r="H33" s="8">
        <v>5.55</v>
      </c>
      <c r="I33" s="12">
        <v>0</v>
      </c>
    </row>
    <row r="34" spans="2:9" ht="15" customHeight="1" x14ac:dyDescent="0.2">
      <c r="B34" t="s">
        <v>115</v>
      </c>
      <c r="C34" s="12">
        <v>48</v>
      </c>
      <c r="D34" s="8">
        <v>2.29</v>
      </c>
      <c r="E34" s="12">
        <v>39</v>
      </c>
      <c r="F34" s="8">
        <v>3.18</v>
      </c>
      <c r="G34" s="12">
        <v>8</v>
      </c>
      <c r="H34" s="8">
        <v>0.92</v>
      </c>
      <c r="I34" s="12">
        <v>0</v>
      </c>
    </row>
    <row r="35" spans="2:9" ht="15" customHeight="1" x14ac:dyDescent="0.2">
      <c r="B35" t="s">
        <v>107</v>
      </c>
      <c r="C35" s="12">
        <v>46</v>
      </c>
      <c r="D35" s="8">
        <v>2.2000000000000002</v>
      </c>
      <c r="E35" s="12">
        <v>26</v>
      </c>
      <c r="F35" s="8">
        <v>2.12</v>
      </c>
      <c r="G35" s="12">
        <v>20</v>
      </c>
      <c r="H35" s="8">
        <v>2.31</v>
      </c>
      <c r="I35" s="12">
        <v>0</v>
      </c>
    </row>
    <row r="36" spans="2:9" ht="15" customHeight="1" x14ac:dyDescent="0.2">
      <c r="B36" t="s">
        <v>120</v>
      </c>
      <c r="C36" s="12">
        <v>45</v>
      </c>
      <c r="D36" s="8">
        <v>2.15</v>
      </c>
      <c r="E36" s="12">
        <v>25</v>
      </c>
      <c r="F36" s="8">
        <v>2.04</v>
      </c>
      <c r="G36" s="12">
        <v>20</v>
      </c>
      <c r="H36" s="8">
        <v>2.31</v>
      </c>
      <c r="I36" s="12">
        <v>0</v>
      </c>
    </row>
    <row r="37" spans="2:9" ht="15" customHeight="1" x14ac:dyDescent="0.2">
      <c r="B37" t="s">
        <v>111</v>
      </c>
      <c r="C37" s="12">
        <v>45</v>
      </c>
      <c r="D37" s="8">
        <v>2.15</v>
      </c>
      <c r="E37" s="12">
        <v>33</v>
      </c>
      <c r="F37" s="8">
        <v>2.69</v>
      </c>
      <c r="G37" s="12">
        <v>12</v>
      </c>
      <c r="H37" s="8">
        <v>1.39</v>
      </c>
      <c r="I37" s="12">
        <v>0</v>
      </c>
    </row>
    <row r="38" spans="2:9" ht="15" customHeight="1" x14ac:dyDescent="0.2">
      <c r="B38" t="s">
        <v>109</v>
      </c>
      <c r="C38" s="12">
        <v>38</v>
      </c>
      <c r="D38" s="8">
        <v>1.82</v>
      </c>
      <c r="E38" s="12">
        <v>8</v>
      </c>
      <c r="F38" s="8">
        <v>0.65</v>
      </c>
      <c r="G38" s="12">
        <v>30</v>
      </c>
      <c r="H38" s="8">
        <v>3.47</v>
      </c>
      <c r="I38" s="12">
        <v>0</v>
      </c>
    </row>
    <row r="39" spans="2:9" ht="15" customHeight="1" x14ac:dyDescent="0.2">
      <c r="B39" t="s">
        <v>104</v>
      </c>
      <c r="C39" s="12">
        <v>32</v>
      </c>
      <c r="D39" s="8">
        <v>1.53</v>
      </c>
      <c r="E39" s="12">
        <v>10</v>
      </c>
      <c r="F39" s="8">
        <v>0.82</v>
      </c>
      <c r="G39" s="12">
        <v>22</v>
      </c>
      <c r="H39" s="8">
        <v>2.54</v>
      </c>
      <c r="I39" s="12">
        <v>0</v>
      </c>
    </row>
    <row r="40" spans="2:9" ht="15" customHeight="1" x14ac:dyDescent="0.2">
      <c r="B40" t="s">
        <v>112</v>
      </c>
      <c r="C40" s="12">
        <v>31</v>
      </c>
      <c r="D40" s="8">
        <v>1.48</v>
      </c>
      <c r="E40" s="12">
        <v>14</v>
      </c>
      <c r="F40" s="8">
        <v>1.1399999999999999</v>
      </c>
      <c r="G40" s="12">
        <v>17</v>
      </c>
      <c r="H40" s="8">
        <v>1.97</v>
      </c>
      <c r="I40" s="12">
        <v>0</v>
      </c>
    </row>
    <row r="41" spans="2:9" ht="15" customHeight="1" x14ac:dyDescent="0.2">
      <c r="B41" t="s">
        <v>117</v>
      </c>
      <c r="C41" s="12">
        <v>30</v>
      </c>
      <c r="D41" s="8">
        <v>1.43</v>
      </c>
      <c r="E41" s="12">
        <v>2</v>
      </c>
      <c r="F41" s="8">
        <v>0.16</v>
      </c>
      <c r="G41" s="12">
        <v>28</v>
      </c>
      <c r="H41" s="8">
        <v>3.24</v>
      </c>
      <c r="I41" s="12">
        <v>0</v>
      </c>
    </row>
    <row r="42" spans="2:9" ht="15" customHeight="1" x14ac:dyDescent="0.2">
      <c r="B42" t="s">
        <v>103</v>
      </c>
      <c r="C42" s="12">
        <v>29</v>
      </c>
      <c r="D42" s="8">
        <v>1.39</v>
      </c>
      <c r="E42" s="12">
        <v>6</v>
      </c>
      <c r="F42" s="8">
        <v>0.49</v>
      </c>
      <c r="G42" s="12">
        <v>23</v>
      </c>
      <c r="H42" s="8">
        <v>2.66</v>
      </c>
      <c r="I42" s="12">
        <v>0</v>
      </c>
    </row>
    <row r="43" spans="2:9" ht="15" customHeight="1" x14ac:dyDescent="0.2">
      <c r="B43" t="s">
        <v>130</v>
      </c>
      <c r="C43" s="12">
        <v>29</v>
      </c>
      <c r="D43" s="8">
        <v>1.39</v>
      </c>
      <c r="E43" s="12">
        <v>16</v>
      </c>
      <c r="F43" s="8">
        <v>1.31</v>
      </c>
      <c r="G43" s="12">
        <v>13</v>
      </c>
      <c r="H43" s="8">
        <v>1.5</v>
      </c>
      <c r="I43" s="12">
        <v>0</v>
      </c>
    </row>
    <row r="46" spans="2:9" ht="33" customHeight="1" x14ac:dyDescent="0.2">
      <c r="B46" t="s">
        <v>273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160</v>
      </c>
      <c r="C47" s="12">
        <v>158</v>
      </c>
      <c r="D47" s="8">
        <v>7.55</v>
      </c>
      <c r="E47" s="12">
        <v>91</v>
      </c>
      <c r="F47" s="8">
        <v>7.43</v>
      </c>
      <c r="G47" s="12">
        <v>67</v>
      </c>
      <c r="H47" s="8">
        <v>7.75</v>
      </c>
      <c r="I47" s="12">
        <v>0</v>
      </c>
    </row>
    <row r="48" spans="2:9" ht="15" customHeight="1" x14ac:dyDescent="0.2">
      <c r="B48" t="s">
        <v>169</v>
      </c>
      <c r="C48" s="12">
        <v>78</v>
      </c>
      <c r="D48" s="8">
        <v>3.73</v>
      </c>
      <c r="E48" s="12">
        <v>69</v>
      </c>
      <c r="F48" s="8">
        <v>5.63</v>
      </c>
      <c r="G48" s="12">
        <v>9</v>
      </c>
      <c r="H48" s="8">
        <v>1.04</v>
      </c>
      <c r="I48" s="12">
        <v>0</v>
      </c>
    </row>
    <row r="49" spans="2:9" ht="15" customHeight="1" x14ac:dyDescent="0.2">
      <c r="B49" t="s">
        <v>171</v>
      </c>
      <c r="C49" s="12">
        <v>76</v>
      </c>
      <c r="D49" s="8">
        <v>3.63</v>
      </c>
      <c r="E49" s="12">
        <v>70</v>
      </c>
      <c r="F49" s="8">
        <v>5.71</v>
      </c>
      <c r="G49" s="12">
        <v>6</v>
      </c>
      <c r="H49" s="8">
        <v>0.69</v>
      </c>
      <c r="I49" s="12">
        <v>0</v>
      </c>
    </row>
    <row r="50" spans="2:9" ht="15" customHeight="1" x14ac:dyDescent="0.2">
      <c r="B50" t="s">
        <v>167</v>
      </c>
      <c r="C50" s="12">
        <v>69</v>
      </c>
      <c r="D50" s="8">
        <v>3.3</v>
      </c>
      <c r="E50" s="12">
        <v>66</v>
      </c>
      <c r="F50" s="8">
        <v>5.39</v>
      </c>
      <c r="G50" s="12">
        <v>3</v>
      </c>
      <c r="H50" s="8">
        <v>0.35</v>
      </c>
      <c r="I50" s="12">
        <v>0</v>
      </c>
    </row>
    <row r="51" spans="2:9" ht="15" customHeight="1" x14ac:dyDescent="0.2">
      <c r="B51" t="s">
        <v>165</v>
      </c>
      <c r="C51" s="12">
        <v>65</v>
      </c>
      <c r="D51" s="8">
        <v>3.11</v>
      </c>
      <c r="E51" s="12">
        <v>63</v>
      </c>
      <c r="F51" s="8">
        <v>5.14</v>
      </c>
      <c r="G51" s="12">
        <v>2</v>
      </c>
      <c r="H51" s="8">
        <v>0.23</v>
      </c>
      <c r="I51" s="12">
        <v>0</v>
      </c>
    </row>
    <row r="52" spans="2:9" ht="15" customHeight="1" x14ac:dyDescent="0.2">
      <c r="B52" t="s">
        <v>157</v>
      </c>
      <c r="C52" s="12">
        <v>59</v>
      </c>
      <c r="D52" s="8">
        <v>2.82</v>
      </c>
      <c r="E52" s="12">
        <v>49</v>
      </c>
      <c r="F52" s="8">
        <v>4</v>
      </c>
      <c r="G52" s="12">
        <v>10</v>
      </c>
      <c r="H52" s="8">
        <v>1.1599999999999999</v>
      </c>
      <c r="I52" s="12">
        <v>0</v>
      </c>
    </row>
    <row r="53" spans="2:9" ht="15" customHeight="1" x14ac:dyDescent="0.2">
      <c r="B53" t="s">
        <v>156</v>
      </c>
      <c r="C53" s="12">
        <v>57</v>
      </c>
      <c r="D53" s="8">
        <v>2.72</v>
      </c>
      <c r="E53" s="12">
        <v>44</v>
      </c>
      <c r="F53" s="8">
        <v>3.59</v>
      </c>
      <c r="G53" s="12">
        <v>13</v>
      </c>
      <c r="H53" s="8">
        <v>1.5</v>
      </c>
      <c r="I53" s="12">
        <v>0</v>
      </c>
    </row>
    <row r="54" spans="2:9" ht="15" customHeight="1" x14ac:dyDescent="0.2">
      <c r="B54" t="s">
        <v>168</v>
      </c>
      <c r="C54" s="12">
        <v>56</v>
      </c>
      <c r="D54" s="8">
        <v>2.68</v>
      </c>
      <c r="E54" s="12">
        <v>54</v>
      </c>
      <c r="F54" s="8">
        <v>4.41</v>
      </c>
      <c r="G54" s="12">
        <v>2</v>
      </c>
      <c r="H54" s="8">
        <v>0.23</v>
      </c>
      <c r="I54" s="12">
        <v>0</v>
      </c>
    </row>
    <row r="55" spans="2:9" ht="15" customHeight="1" x14ac:dyDescent="0.2">
      <c r="B55" t="s">
        <v>164</v>
      </c>
      <c r="C55" s="12">
        <v>52</v>
      </c>
      <c r="D55" s="8">
        <v>2.4900000000000002</v>
      </c>
      <c r="E55" s="12">
        <v>49</v>
      </c>
      <c r="F55" s="8">
        <v>4</v>
      </c>
      <c r="G55" s="12">
        <v>3</v>
      </c>
      <c r="H55" s="8">
        <v>0.35</v>
      </c>
      <c r="I55" s="12">
        <v>0</v>
      </c>
    </row>
    <row r="56" spans="2:9" ht="15" customHeight="1" x14ac:dyDescent="0.2">
      <c r="B56" t="s">
        <v>161</v>
      </c>
      <c r="C56" s="12">
        <v>47</v>
      </c>
      <c r="D56" s="8">
        <v>2.25</v>
      </c>
      <c r="E56" s="12">
        <v>40</v>
      </c>
      <c r="F56" s="8">
        <v>3.27</v>
      </c>
      <c r="G56" s="12">
        <v>7</v>
      </c>
      <c r="H56" s="8">
        <v>0.81</v>
      </c>
      <c r="I56" s="12">
        <v>0</v>
      </c>
    </row>
    <row r="57" spans="2:9" ht="15" customHeight="1" x14ac:dyDescent="0.2">
      <c r="B57" t="s">
        <v>155</v>
      </c>
      <c r="C57" s="12">
        <v>38</v>
      </c>
      <c r="D57" s="8">
        <v>1.82</v>
      </c>
      <c r="E57" s="12">
        <v>24</v>
      </c>
      <c r="F57" s="8">
        <v>1.96</v>
      </c>
      <c r="G57" s="12">
        <v>14</v>
      </c>
      <c r="H57" s="8">
        <v>1.62</v>
      </c>
      <c r="I57" s="12">
        <v>0</v>
      </c>
    </row>
    <row r="58" spans="2:9" ht="15" customHeight="1" x14ac:dyDescent="0.2">
      <c r="B58" t="s">
        <v>174</v>
      </c>
      <c r="C58" s="12">
        <v>33</v>
      </c>
      <c r="D58" s="8">
        <v>1.58</v>
      </c>
      <c r="E58" s="12">
        <v>9</v>
      </c>
      <c r="F58" s="8">
        <v>0.73</v>
      </c>
      <c r="G58" s="12">
        <v>24</v>
      </c>
      <c r="H58" s="8">
        <v>2.77</v>
      </c>
      <c r="I58" s="12">
        <v>0</v>
      </c>
    </row>
    <row r="59" spans="2:9" ht="15" customHeight="1" x14ac:dyDescent="0.2">
      <c r="B59" t="s">
        <v>158</v>
      </c>
      <c r="C59" s="12">
        <v>30</v>
      </c>
      <c r="D59" s="8">
        <v>1.43</v>
      </c>
      <c r="E59" s="12">
        <v>7</v>
      </c>
      <c r="F59" s="8">
        <v>0.56999999999999995</v>
      </c>
      <c r="G59" s="12">
        <v>23</v>
      </c>
      <c r="H59" s="8">
        <v>2.66</v>
      </c>
      <c r="I59" s="12">
        <v>0</v>
      </c>
    </row>
    <row r="60" spans="2:9" ht="15" customHeight="1" x14ac:dyDescent="0.2">
      <c r="B60" t="s">
        <v>183</v>
      </c>
      <c r="C60" s="12">
        <v>30</v>
      </c>
      <c r="D60" s="8">
        <v>1.43</v>
      </c>
      <c r="E60" s="12">
        <v>29</v>
      </c>
      <c r="F60" s="8">
        <v>2.37</v>
      </c>
      <c r="G60" s="12">
        <v>1</v>
      </c>
      <c r="H60" s="8">
        <v>0.12</v>
      </c>
      <c r="I60" s="12">
        <v>0</v>
      </c>
    </row>
    <row r="61" spans="2:9" ht="15" customHeight="1" x14ac:dyDescent="0.2">
      <c r="B61" t="s">
        <v>170</v>
      </c>
      <c r="C61" s="12">
        <v>30</v>
      </c>
      <c r="D61" s="8">
        <v>1.43</v>
      </c>
      <c r="E61" s="12">
        <v>27</v>
      </c>
      <c r="F61" s="8">
        <v>2.2000000000000002</v>
      </c>
      <c r="G61" s="12">
        <v>3</v>
      </c>
      <c r="H61" s="8">
        <v>0.35</v>
      </c>
      <c r="I61" s="12">
        <v>0</v>
      </c>
    </row>
    <row r="62" spans="2:9" ht="15" customHeight="1" x14ac:dyDescent="0.2">
      <c r="B62" t="s">
        <v>159</v>
      </c>
      <c r="C62" s="12">
        <v>28</v>
      </c>
      <c r="D62" s="8">
        <v>1.34</v>
      </c>
      <c r="E62" s="12">
        <v>8</v>
      </c>
      <c r="F62" s="8">
        <v>0.65</v>
      </c>
      <c r="G62" s="12">
        <v>20</v>
      </c>
      <c r="H62" s="8">
        <v>2.31</v>
      </c>
      <c r="I62" s="12">
        <v>0</v>
      </c>
    </row>
    <row r="63" spans="2:9" ht="15" customHeight="1" x14ac:dyDescent="0.2">
      <c r="B63" t="s">
        <v>211</v>
      </c>
      <c r="C63" s="12">
        <v>28</v>
      </c>
      <c r="D63" s="8">
        <v>1.34</v>
      </c>
      <c r="E63" s="12">
        <v>28</v>
      </c>
      <c r="F63" s="8">
        <v>2.29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176</v>
      </c>
      <c r="C64" s="12">
        <v>27</v>
      </c>
      <c r="D64" s="8">
        <v>1.29</v>
      </c>
      <c r="E64" s="12">
        <v>15</v>
      </c>
      <c r="F64" s="8">
        <v>1.22</v>
      </c>
      <c r="G64" s="12">
        <v>12</v>
      </c>
      <c r="H64" s="8">
        <v>1.39</v>
      </c>
      <c r="I64" s="12">
        <v>0</v>
      </c>
    </row>
    <row r="65" spans="2:9" ht="15" customHeight="1" x14ac:dyDescent="0.2">
      <c r="B65" t="s">
        <v>153</v>
      </c>
      <c r="C65" s="12">
        <v>26</v>
      </c>
      <c r="D65" s="8">
        <v>1.24</v>
      </c>
      <c r="E65" s="12">
        <v>2</v>
      </c>
      <c r="F65" s="8">
        <v>0.16</v>
      </c>
      <c r="G65" s="12">
        <v>24</v>
      </c>
      <c r="H65" s="8">
        <v>2.77</v>
      </c>
      <c r="I65" s="12">
        <v>0</v>
      </c>
    </row>
    <row r="66" spans="2:9" ht="15" customHeight="1" x14ac:dyDescent="0.2">
      <c r="B66" t="s">
        <v>152</v>
      </c>
      <c r="C66" s="12">
        <v>25</v>
      </c>
      <c r="D66" s="8">
        <v>1.2</v>
      </c>
      <c r="E66" s="12">
        <v>5</v>
      </c>
      <c r="F66" s="8">
        <v>0.41</v>
      </c>
      <c r="G66" s="12">
        <v>20</v>
      </c>
      <c r="H66" s="8">
        <v>2.31</v>
      </c>
      <c r="I66" s="12">
        <v>0</v>
      </c>
    </row>
    <row r="67" spans="2:9" ht="15" customHeight="1" x14ac:dyDescent="0.2">
      <c r="B67" t="s">
        <v>210</v>
      </c>
      <c r="C67" s="12">
        <v>25</v>
      </c>
      <c r="D67" s="8">
        <v>1.2</v>
      </c>
      <c r="E67" s="12">
        <v>7</v>
      </c>
      <c r="F67" s="8">
        <v>0.56999999999999995</v>
      </c>
      <c r="G67" s="12">
        <v>18</v>
      </c>
      <c r="H67" s="8">
        <v>2.08</v>
      </c>
      <c r="I67" s="12">
        <v>0</v>
      </c>
    </row>
    <row r="68" spans="2:9" ht="15" customHeight="1" x14ac:dyDescent="0.2">
      <c r="B68" t="s">
        <v>205</v>
      </c>
      <c r="C68" s="12">
        <v>25</v>
      </c>
      <c r="D68" s="8">
        <v>1.2</v>
      </c>
      <c r="E68" s="12">
        <v>16</v>
      </c>
      <c r="F68" s="8">
        <v>1.31</v>
      </c>
      <c r="G68" s="12">
        <v>9</v>
      </c>
      <c r="H68" s="8">
        <v>1.04</v>
      </c>
      <c r="I68" s="12">
        <v>0</v>
      </c>
    </row>
    <row r="70" spans="2:9" ht="15" customHeight="1" x14ac:dyDescent="0.2">
      <c r="B70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B3B14-DF30-41DE-82DA-46AF6D0B89E8}">
  <sheetPr>
    <pageSetUpPr fitToPage="1"/>
  </sheetPr>
  <dimension ref="A1:H1201"/>
  <sheetViews>
    <sheetView workbookViewId="0"/>
  </sheetViews>
  <sheetFormatPr defaultRowHeight="13.2" x14ac:dyDescent="0.2"/>
  <cols>
    <col min="1" max="1" width="40" bestFit="1" customWidth="1"/>
    <col min="2" max="8" width="10.44140625" customWidth="1"/>
  </cols>
  <sheetData>
    <row r="1" spans="1:8" ht="37.5" customHeight="1" x14ac:dyDescent="0.2">
      <c r="A1" s="6" t="s">
        <v>90</v>
      </c>
      <c r="B1" s="7" t="s">
        <v>91</v>
      </c>
      <c r="C1" s="7" t="s">
        <v>92</v>
      </c>
      <c r="D1" s="7" t="s">
        <v>93</v>
      </c>
      <c r="E1" s="7" t="s">
        <v>94</v>
      </c>
      <c r="F1" s="7" t="s">
        <v>95</v>
      </c>
      <c r="G1" s="7" t="s">
        <v>96</v>
      </c>
      <c r="H1" s="7" t="s">
        <v>97</v>
      </c>
    </row>
    <row r="2" spans="1:8" x14ac:dyDescent="0.2">
      <c r="A2" s="1" t="s">
        <v>0</v>
      </c>
      <c r="B2" s="4">
        <v>218815</v>
      </c>
      <c r="C2" s="5">
        <v>100.02</v>
      </c>
      <c r="D2" s="4">
        <v>103167</v>
      </c>
      <c r="E2" s="5">
        <v>99.99</v>
      </c>
      <c r="F2" s="4">
        <v>114856</v>
      </c>
      <c r="G2" s="5">
        <v>99.980000000000018</v>
      </c>
      <c r="H2" s="4">
        <v>367</v>
      </c>
    </row>
    <row r="3" spans="1:8" x14ac:dyDescent="0.2">
      <c r="A3" s="2" t="s">
        <v>75</v>
      </c>
      <c r="B3" s="4">
        <v>4</v>
      </c>
      <c r="C3" s="5">
        <v>0</v>
      </c>
      <c r="D3" s="4">
        <v>0</v>
      </c>
      <c r="E3" s="5">
        <v>0</v>
      </c>
      <c r="F3" s="4">
        <v>4</v>
      </c>
      <c r="G3" s="5">
        <v>0</v>
      </c>
      <c r="H3" s="4">
        <v>0</v>
      </c>
    </row>
    <row r="4" spans="1:8" x14ac:dyDescent="0.2">
      <c r="A4" s="2" t="s">
        <v>76</v>
      </c>
      <c r="B4" s="4">
        <v>21668</v>
      </c>
      <c r="C4" s="5">
        <v>9.9</v>
      </c>
      <c r="D4" s="4">
        <v>4360</v>
      </c>
      <c r="E4" s="5">
        <v>4.2300000000000004</v>
      </c>
      <c r="F4" s="4">
        <v>17305</v>
      </c>
      <c r="G4" s="5">
        <v>15.07</v>
      </c>
      <c r="H4" s="4">
        <v>3</v>
      </c>
    </row>
    <row r="5" spans="1:8" x14ac:dyDescent="0.2">
      <c r="A5" s="2" t="s">
        <v>77</v>
      </c>
      <c r="B5" s="4">
        <v>26971</v>
      </c>
      <c r="C5" s="5">
        <v>12.33</v>
      </c>
      <c r="D5" s="4">
        <v>9813</v>
      </c>
      <c r="E5" s="5">
        <v>9.51</v>
      </c>
      <c r="F5" s="4">
        <v>17153</v>
      </c>
      <c r="G5" s="5">
        <v>14.93</v>
      </c>
      <c r="H5" s="4">
        <v>4</v>
      </c>
    </row>
    <row r="6" spans="1:8" x14ac:dyDescent="0.2">
      <c r="A6" s="2" t="s">
        <v>78</v>
      </c>
      <c r="B6" s="4">
        <v>149</v>
      </c>
      <c r="C6" s="5">
        <v>7.0000000000000007E-2</v>
      </c>
      <c r="D6" s="4">
        <v>2</v>
      </c>
      <c r="E6" s="5">
        <v>0</v>
      </c>
      <c r="F6" s="4">
        <v>138</v>
      </c>
      <c r="G6" s="5">
        <v>0.12</v>
      </c>
      <c r="H6" s="4">
        <v>0</v>
      </c>
    </row>
    <row r="7" spans="1:8" x14ac:dyDescent="0.2">
      <c r="A7" s="2" t="s">
        <v>79</v>
      </c>
      <c r="B7" s="4">
        <v>3233</v>
      </c>
      <c r="C7" s="5">
        <v>1.48</v>
      </c>
      <c r="D7" s="4">
        <v>213</v>
      </c>
      <c r="E7" s="5">
        <v>0.21</v>
      </c>
      <c r="F7" s="4">
        <v>3014</v>
      </c>
      <c r="G7" s="5">
        <v>2.62</v>
      </c>
      <c r="H7" s="4">
        <v>6</v>
      </c>
    </row>
    <row r="8" spans="1:8" x14ac:dyDescent="0.2">
      <c r="A8" s="2" t="s">
        <v>80</v>
      </c>
      <c r="B8" s="4">
        <v>2748</v>
      </c>
      <c r="C8" s="5">
        <v>1.26</v>
      </c>
      <c r="D8" s="4">
        <v>691</v>
      </c>
      <c r="E8" s="5">
        <v>0.67</v>
      </c>
      <c r="F8" s="4">
        <v>2047</v>
      </c>
      <c r="G8" s="5">
        <v>1.78</v>
      </c>
      <c r="H8" s="4">
        <v>8</v>
      </c>
    </row>
    <row r="9" spans="1:8" x14ac:dyDescent="0.2">
      <c r="A9" s="2" t="s">
        <v>81</v>
      </c>
      <c r="B9" s="4">
        <v>46834</v>
      </c>
      <c r="C9" s="5">
        <v>21.4</v>
      </c>
      <c r="D9" s="4">
        <v>20430</v>
      </c>
      <c r="E9" s="5">
        <v>19.8</v>
      </c>
      <c r="F9" s="4">
        <v>26384</v>
      </c>
      <c r="G9" s="5">
        <v>22.97</v>
      </c>
      <c r="H9" s="4">
        <v>20</v>
      </c>
    </row>
    <row r="10" spans="1:8" x14ac:dyDescent="0.2">
      <c r="A10" s="2" t="s">
        <v>82</v>
      </c>
      <c r="B10" s="4">
        <v>1196</v>
      </c>
      <c r="C10" s="5">
        <v>0.55000000000000004</v>
      </c>
      <c r="D10" s="4">
        <v>164</v>
      </c>
      <c r="E10" s="5">
        <v>0.16</v>
      </c>
      <c r="F10" s="4">
        <v>1032</v>
      </c>
      <c r="G10" s="5">
        <v>0.9</v>
      </c>
      <c r="H10" s="4">
        <v>0</v>
      </c>
    </row>
    <row r="11" spans="1:8" x14ac:dyDescent="0.2">
      <c r="A11" s="2" t="s">
        <v>83</v>
      </c>
      <c r="B11" s="4">
        <v>29549</v>
      </c>
      <c r="C11" s="5">
        <v>13.5</v>
      </c>
      <c r="D11" s="4">
        <v>8313</v>
      </c>
      <c r="E11" s="5">
        <v>8.06</v>
      </c>
      <c r="F11" s="4">
        <v>21196</v>
      </c>
      <c r="G11" s="5">
        <v>18.45</v>
      </c>
      <c r="H11" s="4">
        <v>34</v>
      </c>
    </row>
    <row r="12" spans="1:8" x14ac:dyDescent="0.2">
      <c r="A12" s="2" t="s">
        <v>84</v>
      </c>
      <c r="B12" s="4">
        <v>14809</v>
      </c>
      <c r="C12" s="5">
        <v>6.77</v>
      </c>
      <c r="D12" s="4">
        <v>7742</v>
      </c>
      <c r="E12" s="5">
        <v>7.5</v>
      </c>
      <c r="F12" s="4">
        <v>7030</v>
      </c>
      <c r="G12" s="5">
        <v>6.12</v>
      </c>
      <c r="H12" s="4">
        <v>25</v>
      </c>
    </row>
    <row r="13" spans="1:8" x14ac:dyDescent="0.2">
      <c r="A13" s="2" t="s">
        <v>85</v>
      </c>
      <c r="B13" s="4">
        <v>26582</v>
      </c>
      <c r="C13" s="5">
        <v>12.15</v>
      </c>
      <c r="D13" s="4">
        <v>22382</v>
      </c>
      <c r="E13" s="5">
        <v>21.69</v>
      </c>
      <c r="F13" s="4">
        <v>4178</v>
      </c>
      <c r="G13" s="5">
        <v>3.64</v>
      </c>
      <c r="H13" s="4">
        <v>8</v>
      </c>
    </row>
    <row r="14" spans="1:8" x14ac:dyDescent="0.2">
      <c r="A14" s="2" t="s">
        <v>86</v>
      </c>
      <c r="B14" s="4">
        <v>20326</v>
      </c>
      <c r="C14" s="5">
        <v>9.2899999999999991</v>
      </c>
      <c r="D14" s="4">
        <v>15524</v>
      </c>
      <c r="E14" s="5">
        <v>15.05</v>
      </c>
      <c r="F14" s="4">
        <v>4771</v>
      </c>
      <c r="G14" s="5">
        <v>4.1500000000000004</v>
      </c>
      <c r="H14" s="4">
        <v>13</v>
      </c>
    </row>
    <row r="15" spans="1:8" x14ac:dyDescent="0.2">
      <c r="A15" s="2" t="s">
        <v>87</v>
      </c>
      <c r="B15" s="4">
        <v>6621</v>
      </c>
      <c r="C15" s="5">
        <v>3.03</v>
      </c>
      <c r="D15" s="4">
        <v>4512</v>
      </c>
      <c r="E15" s="5">
        <v>4.37</v>
      </c>
      <c r="F15" s="4">
        <v>1902</v>
      </c>
      <c r="G15" s="5">
        <v>1.66</v>
      </c>
      <c r="H15" s="4">
        <v>47</v>
      </c>
    </row>
    <row r="16" spans="1:8" x14ac:dyDescent="0.2">
      <c r="A16" s="2" t="s">
        <v>88</v>
      </c>
      <c r="B16" s="4">
        <v>11238</v>
      </c>
      <c r="C16" s="5">
        <v>5.14</v>
      </c>
      <c r="D16" s="4">
        <v>6926</v>
      </c>
      <c r="E16" s="5">
        <v>6.71</v>
      </c>
      <c r="F16" s="4">
        <v>4071</v>
      </c>
      <c r="G16" s="5">
        <v>3.54</v>
      </c>
      <c r="H16" s="4">
        <v>70</v>
      </c>
    </row>
    <row r="17" spans="1:8" x14ac:dyDescent="0.2">
      <c r="A17" s="2" t="s">
        <v>89</v>
      </c>
      <c r="B17" s="4">
        <v>6887</v>
      </c>
      <c r="C17" s="5">
        <v>3.15</v>
      </c>
      <c r="D17" s="4">
        <v>2095</v>
      </c>
      <c r="E17" s="5">
        <v>2.0299999999999998</v>
      </c>
      <c r="F17" s="4">
        <v>4631</v>
      </c>
      <c r="G17" s="5">
        <v>4.03</v>
      </c>
      <c r="H17" s="4">
        <v>129</v>
      </c>
    </row>
    <row r="18" spans="1:8" x14ac:dyDescent="0.2">
      <c r="A18" s="1" t="s">
        <v>1</v>
      </c>
      <c r="B18" s="4">
        <v>97640</v>
      </c>
      <c r="C18" s="5">
        <v>100.00000000000001</v>
      </c>
      <c r="D18" s="4">
        <v>43134</v>
      </c>
      <c r="E18" s="5">
        <v>100.02</v>
      </c>
      <c r="F18" s="4">
        <v>54282</v>
      </c>
      <c r="G18" s="5">
        <v>100</v>
      </c>
      <c r="H18" s="4">
        <v>186</v>
      </c>
    </row>
    <row r="19" spans="1:8" x14ac:dyDescent="0.2">
      <c r="A19" s="2" t="s">
        <v>75</v>
      </c>
      <c r="B19" s="4">
        <v>0</v>
      </c>
      <c r="C19" s="5">
        <v>0</v>
      </c>
      <c r="D19" s="4">
        <v>0</v>
      </c>
      <c r="E19" s="5">
        <v>0</v>
      </c>
      <c r="F19" s="4">
        <v>0</v>
      </c>
      <c r="G19" s="5">
        <v>0</v>
      </c>
      <c r="H19" s="4">
        <v>0</v>
      </c>
    </row>
    <row r="20" spans="1:8" x14ac:dyDescent="0.2">
      <c r="A20" s="2" t="s">
        <v>76</v>
      </c>
      <c r="B20" s="4">
        <v>7051</v>
      </c>
      <c r="C20" s="5">
        <v>7.22</v>
      </c>
      <c r="D20" s="4">
        <v>1123</v>
      </c>
      <c r="E20" s="5">
        <v>2.6</v>
      </c>
      <c r="F20" s="4">
        <v>5926</v>
      </c>
      <c r="G20" s="5">
        <v>10.92</v>
      </c>
      <c r="H20" s="4">
        <v>2</v>
      </c>
    </row>
    <row r="21" spans="1:8" x14ac:dyDescent="0.2">
      <c r="A21" s="2" t="s">
        <v>77</v>
      </c>
      <c r="B21" s="4">
        <v>10788</v>
      </c>
      <c r="C21" s="5">
        <v>11.05</v>
      </c>
      <c r="D21" s="4">
        <v>3730</v>
      </c>
      <c r="E21" s="5">
        <v>8.65</v>
      </c>
      <c r="F21" s="4">
        <v>7055</v>
      </c>
      <c r="G21" s="5">
        <v>13</v>
      </c>
      <c r="H21" s="4">
        <v>3</v>
      </c>
    </row>
    <row r="22" spans="1:8" x14ac:dyDescent="0.2">
      <c r="A22" s="2" t="s">
        <v>78</v>
      </c>
      <c r="B22" s="4">
        <v>65</v>
      </c>
      <c r="C22" s="5">
        <v>7.0000000000000007E-2</v>
      </c>
      <c r="D22" s="4">
        <v>0</v>
      </c>
      <c r="E22" s="5">
        <v>0</v>
      </c>
      <c r="F22" s="4">
        <v>64</v>
      </c>
      <c r="G22" s="5">
        <v>0.12</v>
      </c>
      <c r="H22" s="4">
        <v>0</v>
      </c>
    </row>
    <row r="23" spans="1:8" x14ac:dyDescent="0.2">
      <c r="A23" s="2" t="s">
        <v>79</v>
      </c>
      <c r="B23" s="4">
        <v>2257</v>
      </c>
      <c r="C23" s="5">
        <v>2.31</v>
      </c>
      <c r="D23" s="4">
        <v>150</v>
      </c>
      <c r="E23" s="5">
        <v>0.35</v>
      </c>
      <c r="F23" s="4">
        <v>2102</v>
      </c>
      <c r="G23" s="5">
        <v>3.87</v>
      </c>
      <c r="H23" s="4">
        <v>5</v>
      </c>
    </row>
    <row r="24" spans="1:8" x14ac:dyDescent="0.2">
      <c r="A24" s="2" t="s">
        <v>80</v>
      </c>
      <c r="B24" s="4">
        <v>1143</v>
      </c>
      <c r="C24" s="5">
        <v>1.17</v>
      </c>
      <c r="D24" s="4">
        <v>260</v>
      </c>
      <c r="E24" s="5">
        <v>0.6</v>
      </c>
      <c r="F24" s="4">
        <v>879</v>
      </c>
      <c r="G24" s="5">
        <v>1.62</v>
      </c>
      <c r="H24" s="4">
        <v>4</v>
      </c>
    </row>
    <row r="25" spans="1:8" x14ac:dyDescent="0.2">
      <c r="A25" s="2" t="s">
        <v>81</v>
      </c>
      <c r="B25" s="4">
        <v>22854</v>
      </c>
      <c r="C25" s="5">
        <v>23.41</v>
      </c>
      <c r="D25" s="4">
        <v>8418</v>
      </c>
      <c r="E25" s="5">
        <v>19.52</v>
      </c>
      <c r="F25" s="4">
        <v>14431</v>
      </c>
      <c r="G25" s="5">
        <v>26.59</v>
      </c>
      <c r="H25" s="4">
        <v>5</v>
      </c>
    </row>
    <row r="26" spans="1:8" x14ac:dyDescent="0.2">
      <c r="A26" s="2" t="s">
        <v>82</v>
      </c>
      <c r="B26" s="4">
        <v>606</v>
      </c>
      <c r="C26" s="5">
        <v>0.62</v>
      </c>
      <c r="D26" s="4">
        <v>50</v>
      </c>
      <c r="E26" s="5">
        <v>0.12</v>
      </c>
      <c r="F26" s="4">
        <v>556</v>
      </c>
      <c r="G26" s="5">
        <v>1.02</v>
      </c>
      <c r="H26" s="4">
        <v>0</v>
      </c>
    </row>
    <row r="27" spans="1:8" x14ac:dyDescent="0.2">
      <c r="A27" s="2" t="s">
        <v>83</v>
      </c>
      <c r="B27" s="4">
        <v>13040</v>
      </c>
      <c r="C27" s="5">
        <v>13.36</v>
      </c>
      <c r="D27" s="4">
        <v>3581</v>
      </c>
      <c r="E27" s="5">
        <v>8.3000000000000007</v>
      </c>
      <c r="F27" s="4">
        <v>9442</v>
      </c>
      <c r="G27" s="5">
        <v>17.39</v>
      </c>
      <c r="H27" s="4">
        <v>16</v>
      </c>
    </row>
    <row r="28" spans="1:8" x14ac:dyDescent="0.2">
      <c r="A28" s="2" t="s">
        <v>84</v>
      </c>
      <c r="B28" s="4">
        <v>9747</v>
      </c>
      <c r="C28" s="5">
        <v>9.98</v>
      </c>
      <c r="D28" s="4">
        <v>5256</v>
      </c>
      <c r="E28" s="5">
        <v>12.19</v>
      </c>
      <c r="F28" s="4">
        <v>4469</v>
      </c>
      <c r="G28" s="5">
        <v>8.23</v>
      </c>
      <c r="H28" s="4">
        <v>18</v>
      </c>
    </row>
    <row r="29" spans="1:8" x14ac:dyDescent="0.2">
      <c r="A29" s="2" t="s">
        <v>85</v>
      </c>
      <c r="B29" s="4">
        <v>13206</v>
      </c>
      <c r="C29" s="5">
        <v>13.53</v>
      </c>
      <c r="D29" s="4">
        <v>10740</v>
      </c>
      <c r="E29" s="5">
        <v>24.9</v>
      </c>
      <c r="F29" s="4">
        <v>2460</v>
      </c>
      <c r="G29" s="5">
        <v>4.53</v>
      </c>
      <c r="H29" s="4">
        <v>4</v>
      </c>
    </row>
    <row r="30" spans="1:8" x14ac:dyDescent="0.2">
      <c r="A30" s="2" t="s">
        <v>86</v>
      </c>
      <c r="B30" s="4">
        <v>7385</v>
      </c>
      <c r="C30" s="5">
        <v>7.56</v>
      </c>
      <c r="D30" s="4">
        <v>5269</v>
      </c>
      <c r="E30" s="5">
        <v>12.22</v>
      </c>
      <c r="F30" s="4">
        <v>2113</v>
      </c>
      <c r="G30" s="5">
        <v>3.89</v>
      </c>
      <c r="H30" s="4">
        <v>3</v>
      </c>
    </row>
    <row r="31" spans="1:8" x14ac:dyDescent="0.2">
      <c r="A31" s="2" t="s">
        <v>87</v>
      </c>
      <c r="B31" s="4">
        <v>2102</v>
      </c>
      <c r="C31" s="5">
        <v>2.15</v>
      </c>
      <c r="D31" s="4">
        <v>1265</v>
      </c>
      <c r="E31" s="5">
        <v>2.93</v>
      </c>
      <c r="F31" s="4">
        <v>798</v>
      </c>
      <c r="G31" s="5">
        <v>1.47</v>
      </c>
      <c r="H31" s="4">
        <v>12</v>
      </c>
    </row>
    <row r="32" spans="1:8" x14ac:dyDescent="0.2">
      <c r="A32" s="2" t="s">
        <v>88</v>
      </c>
      <c r="B32" s="4">
        <v>4328</v>
      </c>
      <c r="C32" s="5">
        <v>4.43</v>
      </c>
      <c r="D32" s="4">
        <v>2720</v>
      </c>
      <c r="E32" s="5">
        <v>6.31</v>
      </c>
      <c r="F32" s="4">
        <v>1551</v>
      </c>
      <c r="G32" s="5">
        <v>2.86</v>
      </c>
      <c r="H32" s="4">
        <v>57</v>
      </c>
    </row>
    <row r="33" spans="1:8" x14ac:dyDescent="0.2">
      <c r="A33" s="2" t="s">
        <v>89</v>
      </c>
      <c r="B33" s="4">
        <v>3068</v>
      </c>
      <c r="C33" s="5">
        <v>3.14</v>
      </c>
      <c r="D33" s="4">
        <v>572</v>
      </c>
      <c r="E33" s="5">
        <v>1.33</v>
      </c>
      <c r="F33" s="4">
        <v>2436</v>
      </c>
      <c r="G33" s="5">
        <v>4.49</v>
      </c>
      <c r="H33" s="4">
        <v>57</v>
      </c>
    </row>
    <row r="34" spans="1:8" x14ac:dyDescent="0.2">
      <c r="A34" s="1" t="s">
        <v>2</v>
      </c>
      <c r="B34" s="4">
        <v>2703</v>
      </c>
      <c r="C34" s="5">
        <v>99.99</v>
      </c>
      <c r="D34" s="4">
        <v>1241</v>
      </c>
      <c r="E34" s="5">
        <v>99.99</v>
      </c>
      <c r="F34" s="4">
        <v>1456</v>
      </c>
      <c r="G34" s="5">
        <v>100.02</v>
      </c>
      <c r="H34" s="4">
        <v>5</v>
      </c>
    </row>
    <row r="35" spans="1:8" x14ac:dyDescent="0.2">
      <c r="A35" s="2" t="s">
        <v>75</v>
      </c>
      <c r="B35" s="4">
        <v>0</v>
      </c>
      <c r="C35" s="5">
        <v>0</v>
      </c>
      <c r="D35" s="4">
        <v>0</v>
      </c>
      <c r="E35" s="5">
        <v>0</v>
      </c>
      <c r="F35" s="4">
        <v>0</v>
      </c>
      <c r="G35" s="5">
        <v>0</v>
      </c>
      <c r="H35" s="4">
        <v>0</v>
      </c>
    </row>
    <row r="36" spans="1:8" x14ac:dyDescent="0.2">
      <c r="A36" s="2" t="s">
        <v>76</v>
      </c>
      <c r="B36" s="4">
        <v>249</v>
      </c>
      <c r="C36" s="5">
        <v>9.2100000000000009</v>
      </c>
      <c r="D36" s="4">
        <v>34</v>
      </c>
      <c r="E36" s="5">
        <v>2.74</v>
      </c>
      <c r="F36" s="4">
        <v>215</v>
      </c>
      <c r="G36" s="5">
        <v>14.77</v>
      </c>
      <c r="H36" s="4">
        <v>0</v>
      </c>
    </row>
    <row r="37" spans="1:8" x14ac:dyDescent="0.2">
      <c r="A37" s="2" t="s">
        <v>77</v>
      </c>
      <c r="B37" s="4">
        <v>254</v>
      </c>
      <c r="C37" s="5">
        <v>9.4</v>
      </c>
      <c r="D37" s="4">
        <v>93</v>
      </c>
      <c r="E37" s="5">
        <v>7.49</v>
      </c>
      <c r="F37" s="4">
        <v>161</v>
      </c>
      <c r="G37" s="5">
        <v>11.06</v>
      </c>
      <c r="H37" s="4">
        <v>0</v>
      </c>
    </row>
    <row r="38" spans="1:8" x14ac:dyDescent="0.2">
      <c r="A38" s="2" t="s">
        <v>78</v>
      </c>
      <c r="B38" s="4">
        <v>3</v>
      </c>
      <c r="C38" s="5">
        <v>0.11</v>
      </c>
      <c r="D38" s="4">
        <v>0</v>
      </c>
      <c r="E38" s="5">
        <v>0</v>
      </c>
      <c r="F38" s="4">
        <v>3</v>
      </c>
      <c r="G38" s="5">
        <v>0.21</v>
      </c>
      <c r="H38" s="4">
        <v>0</v>
      </c>
    </row>
    <row r="39" spans="1:8" x14ac:dyDescent="0.2">
      <c r="A39" s="2" t="s">
        <v>79</v>
      </c>
      <c r="B39" s="4">
        <v>42</v>
      </c>
      <c r="C39" s="5">
        <v>1.55</v>
      </c>
      <c r="D39" s="4">
        <v>3</v>
      </c>
      <c r="E39" s="5">
        <v>0.24</v>
      </c>
      <c r="F39" s="4">
        <v>39</v>
      </c>
      <c r="G39" s="5">
        <v>2.68</v>
      </c>
      <c r="H39" s="4">
        <v>0</v>
      </c>
    </row>
    <row r="40" spans="1:8" x14ac:dyDescent="0.2">
      <c r="A40" s="2" t="s">
        <v>80</v>
      </c>
      <c r="B40" s="4">
        <v>29</v>
      </c>
      <c r="C40" s="5">
        <v>1.07</v>
      </c>
      <c r="D40" s="4">
        <v>16</v>
      </c>
      <c r="E40" s="5">
        <v>1.29</v>
      </c>
      <c r="F40" s="4">
        <v>13</v>
      </c>
      <c r="G40" s="5">
        <v>0.89</v>
      </c>
      <c r="H40" s="4">
        <v>0</v>
      </c>
    </row>
    <row r="41" spans="1:8" x14ac:dyDescent="0.2">
      <c r="A41" s="2" t="s">
        <v>81</v>
      </c>
      <c r="B41" s="4">
        <v>560</v>
      </c>
      <c r="C41" s="5">
        <v>20.72</v>
      </c>
      <c r="D41" s="4">
        <v>224</v>
      </c>
      <c r="E41" s="5">
        <v>18.05</v>
      </c>
      <c r="F41" s="4">
        <v>336</v>
      </c>
      <c r="G41" s="5">
        <v>23.08</v>
      </c>
      <c r="H41" s="4">
        <v>0</v>
      </c>
    </row>
    <row r="42" spans="1:8" x14ac:dyDescent="0.2">
      <c r="A42" s="2" t="s">
        <v>82</v>
      </c>
      <c r="B42" s="4">
        <v>10</v>
      </c>
      <c r="C42" s="5">
        <v>0.37</v>
      </c>
      <c r="D42" s="4">
        <v>2</v>
      </c>
      <c r="E42" s="5">
        <v>0.16</v>
      </c>
      <c r="F42" s="4">
        <v>8</v>
      </c>
      <c r="G42" s="5">
        <v>0.55000000000000004</v>
      </c>
      <c r="H42" s="4">
        <v>0</v>
      </c>
    </row>
    <row r="43" spans="1:8" x14ac:dyDescent="0.2">
      <c r="A43" s="2" t="s">
        <v>83</v>
      </c>
      <c r="B43" s="4">
        <v>429</v>
      </c>
      <c r="C43" s="5">
        <v>15.87</v>
      </c>
      <c r="D43" s="4">
        <v>145</v>
      </c>
      <c r="E43" s="5">
        <v>11.68</v>
      </c>
      <c r="F43" s="4">
        <v>284</v>
      </c>
      <c r="G43" s="5">
        <v>19.510000000000002</v>
      </c>
      <c r="H43" s="4">
        <v>0</v>
      </c>
    </row>
    <row r="44" spans="1:8" x14ac:dyDescent="0.2">
      <c r="A44" s="2" t="s">
        <v>84</v>
      </c>
      <c r="B44" s="4">
        <v>163</v>
      </c>
      <c r="C44" s="5">
        <v>6.03</v>
      </c>
      <c r="D44" s="4">
        <v>84</v>
      </c>
      <c r="E44" s="5">
        <v>6.77</v>
      </c>
      <c r="F44" s="4">
        <v>79</v>
      </c>
      <c r="G44" s="5">
        <v>5.43</v>
      </c>
      <c r="H44" s="4">
        <v>0</v>
      </c>
    </row>
    <row r="45" spans="1:8" x14ac:dyDescent="0.2">
      <c r="A45" s="2" t="s">
        <v>85</v>
      </c>
      <c r="B45" s="4">
        <v>406</v>
      </c>
      <c r="C45" s="5">
        <v>15.02</v>
      </c>
      <c r="D45" s="4">
        <v>322</v>
      </c>
      <c r="E45" s="5">
        <v>25.95</v>
      </c>
      <c r="F45" s="4">
        <v>84</v>
      </c>
      <c r="G45" s="5">
        <v>5.77</v>
      </c>
      <c r="H45" s="4">
        <v>0</v>
      </c>
    </row>
    <row r="46" spans="1:8" x14ac:dyDescent="0.2">
      <c r="A46" s="2" t="s">
        <v>86</v>
      </c>
      <c r="B46" s="4">
        <v>247</v>
      </c>
      <c r="C46" s="5">
        <v>9.14</v>
      </c>
      <c r="D46" s="4">
        <v>157</v>
      </c>
      <c r="E46" s="5">
        <v>12.65</v>
      </c>
      <c r="F46" s="4">
        <v>90</v>
      </c>
      <c r="G46" s="5">
        <v>6.18</v>
      </c>
      <c r="H46" s="4">
        <v>0</v>
      </c>
    </row>
    <row r="47" spans="1:8" x14ac:dyDescent="0.2">
      <c r="A47" s="2" t="s">
        <v>87</v>
      </c>
      <c r="B47" s="4">
        <v>82</v>
      </c>
      <c r="C47" s="5">
        <v>3.03</v>
      </c>
      <c r="D47" s="4">
        <v>46</v>
      </c>
      <c r="E47" s="5">
        <v>3.71</v>
      </c>
      <c r="F47" s="4">
        <v>35</v>
      </c>
      <c r="G47" s="5">
        <v>2.4</v>
      </c>
      <c r="H47" s="4">
        <v>0</v>
      </c>
    </row>
    <row r="48" spans="1:8" x14ac:dyDescent="0.2">
      <c r="A48" s="2" t="s">
        <v>88</v>
      </c>
      <c r="B48" s="4">
        <v>156</v>
      </c>
      <c r="C48" s="5">
        <v>5.77</v>
      </c>
      <c r="D48" s="4">
        <v>93</v>
      </c>
      <c r="E48" s="5">
        <v>7.49</v>
      </c>
      <c r="F48" s="4">
        <v>61</v>
      </c>
      <c r="G48" s="5">
        <v>4.1900000000000004</v>
      </c>
      <c r="H48" s="4">
        <v>2</v>
      </c>
    </row>
    <row r="49" spans="1:8" x14ac:dyDescent="0.2">
      <c r="A49" s="2" t="s">
        <v>89</v>
      </c>
      <c r="B49" s="4">
        <v>73</v>
      </c>
      <c r="C49" s="5">
        <v>2.7</v>
      </c>
      <c r="D49" s="4">
        <v>22</v>
      </c>
      <c r="E49" s="5">
        <v>1.77</v>
      </c>
      <c r="F49" s="4">
        <v>48</v>
      </c>
      <c r="G49" s="5">
        <v>3.3</v>
      </c>
      <c r="H49" s="4">
        <v>3</v>
      </c>
    </row>
    <row r="50" spans="1:8" x14ac:dyDescent="0.2">
      <c r="A50" s="1" t="s">
        <v>3</v>
      </c>
      <c r="B50" s="4">
        <v>2577</v>
      </c>
      <c r="C50" s="5">
        <v>100.00999999999999</v>
      </c>
      <c r="D50" s="4">
        <v>1084</v>
      </c>
      <c r="E50" s="5">
        <v>100.01000000000002</v>
      </c>
      <c r="F50" s="4">
        <v>1480</v>
      </c>
      <c r="G50" s="5">
        <v>100.00999999999999</v>
      </c>
      <c r="H50" s="4">
        <v>10</v>
      </c>
    </row>
    <row r="51" spans="1:8" x14ac:dyDescent="0.2">
      <c r="A51" s="2" t="s">
        <v>75</v>
      </c>
      <c r="B51" s="4">
        <v>0</v>
      </c>
      <c r="C51" s="5">
        <v>0</v>
      </c>
      <c r="D51" s="4">
        <v>0</v>
      </c>
      <c r="E51" s="5">
        <v>0</v>
      </c>
      <c r="F51" s="4">
        <v>0</v>
      </c>
      <c r="G51" s="5">
        <v>0</v>
      </c>
      <c r="H51" s="4">
        <v>0</v>
      </c>
    </row>
    <row r="52" spans="1:8" x14ac:dyDescent="0.2">
      <c r="A52" s="2" t="s">
        <v>76</v>
      </c>
      <c r="B52" s="4">
        <v>146</v>
      </c>
      <c r="C52" s="5">
        <v>5.67</v>
      </c>
      <c r="D52" s="4">
        <v>12</v>
      </c>
      <c r="E52" s="5">
        <v>1.1100000000000001</v>
      </c>
      <c r="F52" s="4">
        <v>134</v>
      </c>
      <c r="G52" s="5">
        <v>9.0500000000000007</v>
      </c>
      <c r="H52" s="4">
        <v>0</v>
      </c>
    </row>
    <row r="53" spans="1:8" x14ac:dyDescent="0.2">
      <c r="A53" s="2" t="s">
        <v>77</v>
      </c>
      <c r="B53" s="4">
        <v>243</v>
      </c>
      <c r="C53" s="5">
        <v>9.43</v>
      </c>
      <c r="D53" s="4">
        <v>52</v>
      </c>
      <c r="E53" s="5">
        <v>4.8</v>
      </c>
      <c r="F53" s="4">
        <v>191</v>
      </c>
      <c r="G53" s="5">
        <v>12.91</v>
      </c>
      <c r="H53" s="4">
        <v>0</v>
      </c>
    </row>
    <row r="54" spans="1:8" x14ac:dyDescent="0.2">
      <c r="A54" s="2" t="s">
        <v>78</v>
      </c>
      <c r="B54" s="4">
        <v>3</v>
      </c>
      <c r="C54" s="5">
        <v>0.12</v>
      </c>
      <c r="D54" s="4">
        <v>0</v>
      </c>
      <c r="E54" s="5">
        <v>0</v>
      </c>
      <c r="F54" s="4">
        <v>3</v>
      </c>
      <c r="G54" s="5">
        <v>0.2</v>
      </c>
      <c r="H54" s="4">
        <v>0</v>
      </c>
    </row>
    <row r="55" spans="1:8" x14ac:dyDescent="0.2">
      <c r="A55" s="2" t="s">
        <v>79</v>
      </c>
      <c r="B55" s="4">
        <v>52</v>
      </c>
      <c r="C55" s="5">
        <v>2.02</v>
      </c>
      <c r="D55" s="4">
        <v>3</v>
      </c>
      <c r="E55" s="5">
        <v>0.28000000000000003</v>
      </c>
      <c r="F55" s="4">
        <v>49</v>
      </c>
      <c r="G55" s="5">
        <v>3.31</v>
      </c>
      <c r="H55" s="4">
        <v>0</v>
      </c>
    </row>
    <row r="56" spans="1:8" x14ac:dyDescent="0.2">
      <c r="A56" s="2" t="s">
        <v>80</v>
      </c>
      <c r="B56" s="4">
        <v>23</v>
      </c>
      <c r="C56" s="5">
        <v>0.89</v>
      </c>
      <c r="D56" s="4">
        <v>1</v>
      </c>
      <c r="E56" s="5">
        <v>0.09</v>
      </c>
      <c r="F56" s="4">
        <v>22</v>
      </c>
      <c r="G56" s="5">
        <v>1.49</v>
      </c>
      <c r="H56" s="4">
        <v>0</v>
      </c>
    </row>
    <row r="57" spans="1:8" x14ac:dyDescent="0.2">
      <c r="A57" s="2" t="s">
        <v>81</v>
      </c>
      <c r="B57" s="4">
        <v>671</v>
      </c>
      <c r="C57" s="5">
        <v>26.04</v>
      </c>
      <c r="D57" s="4">
        <v>204</v>
      </c>
      <c r="E57" s="5">
        <v>18.82</v>
      </c>
      <c r="F57" s="4">
        <v>466</v>
      </c>
      <c r="G57" s="5">
        <v>31.49</v>
      </c>
      <c r="H57" s="4">
        <v>1</v>
      </c>
    </row>
    <row r="58" spans="1:8" x14ac:dyDescent="0.2">
      <c r="A58" s="2" t="s">
        <v>82</v>
      </c>
      <c r="B58" s="4">
        <v>10</v>
      </c>
      <c r="C58" s="5">
        <v>0.39</v>
      </c>
      <c r="D58" s="4">
        <v>0</v>
      </c>
      <c r="E58" s="5">
        <v>0</v>
      </c>
      <c r="F58" s="4">
        <v>10</v>
      </c>
      <c r="G58" s="5">
        <v>0.68</v>
      </c>
      <c r="H58" s="4">
        <v>0</v>
      </c>
    </row>
    <row r="59" spans="1:8" x14ac:dyDescent="0.2">
      <c r="A59" s="2" t="s">
        <v>83</v>
      </c>
      <c r="B59" s="4">
        <v>337</v>
      </c>
      <c r="C59" s="5">
        <v>13.08</v>
      </c>
      <c r="D59" s="4">
        <v>102</v>
      </c>
      <c r="E59" s="5">
        <v>9.41</v>
      </c>
      <c r="F59" s="4">
        <v>233</v>
      </c>
      <c r="G59" s="5">
        <v>15.74</v>
      </c>
      <c r="H59" s="4">
        <v>2</v>
      </c>
    </row>
    <row r="60" spans="1:8" x14ac:dyDescent="0.2">
      <c r="A60" s="2" t="s">
        <v>84</v>
      </c>
      <c r="B60" s="4">
        <v>198</v>
      </c>
      <c r="C60" s="5">
        <v>7.68</v>
      </c>
      <c r="D60" s="4">
        <v>89</v>
      </c>
      <c r="E60" s="5">
        <v>8.2100000000000009</v>
      </c>
      <c r="F60" s="4">
        <v>108</v>
      </c>
      <c r="G60" s="5">
        <v>7.3</v>
      </c>
      <c r="H60" s="4">
        <v>0</v>
      </c>
    </row>
    <row r="61" spans="1:8" x14ac:dyDescent="0.2">
      <c r="A61" s="2" t="s">
        <v>85</v>
      </c>
      <c r="B61" s="4">
        <v>431</v>
      </c>
      <c r="C61" s="5">
        <v>16.72</v>
      </c>
      <c r="D61" s="4">
        <v>345</v>
      </c>
      <c r="E61" s="5">
        <v>31.83</v>
      </c>
      <c r="F61" s="4">
        <v>86</v>
      </c>
      <c r="G61" s="5">
        <v>5.81</v>
      </c>
      <c r="H61" s="4">
        <v>0</v>
      </c>
    </row>
    <row r="62" spans="1:8" x14ac:dyDescent="0.2">
      <c r="A62" s="2" t="s">
        <v>86</v>
      </c>
      <c r="B62" s="4">
        <v>198</v>
      </c>
      <c r="C62" s="5">
        <v>7.68</v>
      </c>
      <c r="D62" s="4">
        <v>143</v>
      </c>
      <c r="E62" s="5">
        <v>13.19</v>
      </c>
      <c r="F62" s="4">
        <v>55</v>
      </c>
      <c r="G62" s="5">
        <v>3.72</v>
      </c>
      <c r="H62" s="4">
        <v>0</v>
      </c>
    </row>
    <row r="63" spans="1:8" x14ac:dyDescent="0.2">
      <c r="A63" s="2" t="s">
        <v>87</v>
      </c>
      <c r="B63" s="4">
        <v>79</v>
      </c>
      <c r="C63" s="5">
        <v>3.07</v>
      </c>
      <c r="D63" s="4">
        <v>45</v>
      </c>
      <c r="E63" s="5">
        <v>4.1500000000000004</v>
      </c>
      <c r="F63" s="4">
        <v>33</v>
      </c>
      <c r="G63" s="5">
        <v>2.23</v>
      </c>
      <c r="H63" s="4">
        <v>0</v>
      </c>
    </row>
    <row r="64" spans="1:8" x14ac:dyDescent="0.2">
      <c r="A64" s="2" t="s">
        <v>88</v>
      </c>
      <c r="B64" s="4">
        <v>121</v>
      </c>
      <c r="C64" s="5">
        <v>4.7</v>
      </c>
      <c r="D64" s="4">
        <v>79</v>
      </c>
      <c r="E64" s="5">
        <v>7.29</v>
      </c>
      <c r="F64" s="4">
        <v>40</v>
      </c>
      <c r="G64" s="5">
        <v>2.7</v>
      </c>
      <c r="H64" s="4">
        <v>2</v>
      </c>
    </row>
    <row r="65" spans="1:8" x14ac:dyDescent="0.2">
      <c r="A65" s="2" t="s">
        <v>89</v>
      </c>
      <c r="B65" s="4">
        <v>65</v>
      </c>
      <c r="C65" s="5">
        <v>2.52</v>
      </c>
      <c r="D65" s="4">
        <v>9</v>
      </c>
      <c r="E65" s="5">
        <v>0.83</v>
      </c>
      <c r="F65" s="4">
        <v>50</v>
      </c>
      <c r="G65" s="5">
        <v>3.38</v>
      </c>
      <c r="H65" s="4">
        <v>5</v>
      </c>
    </row>
    <row r="66" spans="1:8" x14ac:dyDescent="0.2">
      <c r="A66" s="1" t="s">
        <v>4</v>
      </c>
      <c r="B66" s="4">
        <v>1386</v>
      </c>
      <c r="C66" s="5">
        <v>99.99</v>
      </c>
      <c r="D66" s="4">
        <v>720</v>
      </c>
      <c r="E66" s="5">
        <v>99.97999999999999</v>
      </c>
      <c r="F66" s="4">
        <v>663</v>
      </c>
      <c r="G66" s="5">
        <v>100</v>
      </c>
      <c r="H66" s="4">
        <v>2</v>
      </c>
    </row>
    <row r="67" spans="1:8" x14ac:dyDescent="0.2">
      <c r="A67" s="2" t="s">
        <v>75</v>
      </c>
      <c r="B67" s="4">
        <v>0</v>
      </c>
      <c r="C67" s="5">
        <v>0</v>
      </c>
      <c r="D67" s="4">
        <v>0</v>
      </c>
      <c r="E67" s="5">
        <v>0</v>
      </c>
      <c r="F67" s="4">
        <v>0</v>
      </c>
      <c r="G67" s="5">
        <v>0</v>
      </c>
      <c r="H67" s="4">
        <v>0</v>
      </c>
    </row>
    <row r="68" spans="1:8" x14ac:dyDescent="0.2">
      <c r="A68" s="2" t="s">
        <v>76</v>
      </c>
      <c r="B68" s="4">
        <v>178</v>
      </c>
      <c r="C68" s="5">
        <v>12.84</v>
      </c>
      <c r="D68" s="4">
        <v>37</v>
      </c>
      <c r="E68" s="5">
        <v>5.14</v>
      </c>
      <c r="F68" s="4">
        <v>141</v>
      </c>
      <c r="G68" s="5">
        <v>21.27</v>
      </c>
      <c r="H68" s="4">
        <v>0</v>
      </c>
    </row>
    <row r="69" spans="1:8" x14ac:dyDescent="0.2">
      <c r="A69" s="2" t="s">
        <v>77</v>
      </c>
      <c r="B69" s="4">
        <v>126</v>
      </c>
      <c r="C69" s="5">
        <v>9.09</v>
      </c>
      <c r="D69" s="4">
        <v>30</v>
      </c>
      <c r="E69" s="5">
        <v>4.17</v>
      </c>
      <c r="F69" s="4">
        <v>96</v>
      </c>
      <c r="G69" s="5">
        <v>14.48</v>
      </c>
      <c r="H69" s="4">
        <v>0</v>
      </c>
    </row>
    <row r="70" spans="1:8" x14ac:dyDescent="0.2">
      <c r="A70" s="2" t="s">
        <v>78</v>
      </c>
      <c r="B70" s="4">
        <v>2</v>
      </c>
      <c r="C70" s="5">
        <v>0.14000000000000001</v>
      </c>
      <c r="D70" s="4">
        <v>0</v>
      </c>
      <c r="E70" s="5">
        <v>0</v>
      </c>
      <c r="F70" s="4">
        <v>2</v>
      </c>
      <c r="G70" s="5">
        <v>0.3</v>
      </c>
      <c r="H70" s="4">
        <v>0</v>
      </c>
    </row>
    <row r="71" spans="1:8" x14ac:dyDescent="0.2">
      <c r="A71" s="2" t="s">
        <v>79</v>
      </c>
      <c r="B71" s="4">
        <v>18</v>
      </c>
      <c r="C71" s="5">
        <v>1.3</v>
      </c>
      <c r="D71" s="4">
        <v>1</v>
      </c>
      <c r="E71" s="5">
        <v>0.14000000000000001</v>
      </c>
      <c r="F71" s="4">
        <v>17</v>
      </c>
      <c r="G71" s="5">
        <v>2.56</v>
      </c>
      <c r="H71" s="4">
        <v>0</v>
      </c>
    </row>
    <row r="72" spans="1:8" x14ac:dyDescent="0.2">
      <c r="A72" s="2" t="s">
        <v>80</v>
      </c>
      <c r="B72" s="4">
        <v>45</v>
      </c>
      <c r="C72" s="5">
        <v>3.25</v>
      </c>
      <c r="D72" s="4">
        <v>6</v>
      </c>
      <c r="E72" s="5">
        <v>0.83</v>
      </c>
      <c r="F72" s="4">
        <v>39</v>
      </c>
      <c r="G72" s="5">
        <v>5.88</v>
      </c>
      <c r="H72" s="4">
        <v>0</v>
      </c>
    </row>
    <row r="73" spans="1:8" x14ac:dyDescent="0.2">
      <c r="A73" s="2" t="s">
        <v>81</v>
      </c>
      <c r="B73" s="4">
        <v>297</v>
      </c>
      <c r="C73" s="5">
        <v>21.43</v>
      </c>
      <c r="D73" s="4">
        <v>167</v>
      </c>
      <c r="E73" s="5">
        <v>23.19</v>
      </c>
      <c r="F73" s="4">
        <v>130</v>
      </c>
      <c r="G73" s="5">
        <v>19.61</v>
      </c>
      <c r="H73" s="4">
        <v>0</v>
      </c>
    </row>
    <row r="74" spans="1:8" x14ac:dyDescent="0.2">
      <c r="A74" s="2" t="s">
        <v>82</v>
      </c>
      <c r="B74" s="4">
        <v>6</v>
      </c>
      <c r="C74" s="5">
        <v>0.43</v>
      </c>
      <c r="D74" s="4">
        <v>1</v>
      </c>
      <c r="E74" s="5">
        <v>0.14000000000000001</v>
      </c>
      <c r="F74" s="4">
        <v>5</v>
      </c>
      <c r="G74" s="5">
        <v>0.75</v>
      </c>
      <c r="H74" s="4">
        <v>0</v>
      </c>
    </row>
    <row r="75" spans="1:8" x14ac:dyDescent="0.2">
      <c r="A75" s="2" t="s">
        <v>83</v>
      </c>
      <c r="B75" s="4">
        <v>148</v>
      </c>
      <c r="C75" s="5">
        <v>10.68</v>
      </c>
      <c r="D75" s="4">
        <v>78</v>
      </c>
      <c r="E75" s="5">
        <v>10.83</v>
      </c>
      <c r="F75" s="4">
        <v>70</v>
      </c>
      <c r="G75" s="5">
        <v>10.56</v>
      </c>
      <c r="H75" s="4">
        <v>0</v>
      </c>
    </row>
    <row r="76" spans="1:8" x14ac:dyDescent="0.2">
      <c r="A76" s="2" t="s">
        <v>84</v>
      </c>
      <c r="B76" s="4">
        <v>48</v>
      </c>
      <c r="C76" s="5">
        <v>3.46</v>
      </c>
      <c r="D76" s="4">
        <v>23</v>
      </c>
      <c r="E76" s="5">
        <v>3.19</v>
      </c>
      <c r="F76" s="4">
        <v>25</v>
      </c>
      <c r="G76" s="5">
        <v>3.77</v>
      </c>
      <c r="H76" s="4">
        <v>0</v>
      </c>
    </row>
    <row r="77" spans="1:8" x14ac:dyDescent="0.2">
      <c r="A77" s="2" t="s">
        <v>85</v>
      </c>
      <c r="B77" s="4">
        <v>234</v>
      </c>
      <c r="C77" s="5">
        <v>16.88</v>
      </c>
      <c r="D77" s="4">
        <v>196</v>
      </c>
      <c r="E77" s="5">
        <v>27.22</v>
      </c>
      <c r="F77" s="4">
        <v>38</v>
      </c>
      <c r="G77" s="5">
        <v>5.73</v>
      </c>
      <c r="H77" s="4">
        <v>0</v>
      </c>
    </row>
    <row r="78" spans="1:8" x14ac:dyDescent="0.2">
      <c r="A78" s="2" t="s">
        <v>86</v>
      </c>
      <c r="B78" s="4">
        <v>132</v>
      </c>
      <c r="C78" s="5">
        <v>9.52</v>
      </c>
      <c r="D78" s="4">
        <v>106</v>
      </c>
      <c r="E78" s="5">
        <v>14.72</v>
      </c>
      <c r="F78" s="4">
        <v>26</v>
      </c>
      <c r="G78" s="5">
        <v>3.92</v>
      </c>
      <c r="H78" s="4">
        <v>0</v>
      </c>
    </row>
    <row r="79" spans="1:8" x14ac:dyDescent="0.2">
      <c r="A79" s="2" t="s">
        <v>87</v>
      </c>
      <c r="B79" s="4">
        <v>41</v>
      </c>
      <c r="C79" s="5">
        <v>2.96</v>
      </c>
      <c r="D79" s="4">
        <v>32</v>
      </c>
      <c r="E79" s="5">
        <v>4.4400000000000004</v>
      </c>
      <c r="F79" s="4">
        <v>8</v>
      </c>
      <c r="G79" s="5">
        <v>1.21</v>
      </c>
      <c r="H79" s="4">
        <v>0</v>
      </c>
    </row>
    <row r="80" spans="1:8" x14ac:dyDescent="0.2">
      <c r="A80" s="2" t="s">
        <v>88</v>
      </c>
      <c r="B80" s="4">
        <v>59</v>
      </c>
      <c r="C80" s="5">
        <v>4.26</v>
      </c>
      <c r="D80" s="4">
        <v>37</v>
      </c>
      <c r="E80" s="5">
        <v>5.14</v>
      </c>
      <c r="F80" s="4">
        <v>21</v>
      </c>
      <c r="G80" s="5">
        <v>3.17</v>
      </c>
      <c r="H80" s="4">
        <v>1</v>
      </c>
    </row>
    <row r="81" spans="1:8" x14ac:dyDescent="0.2">
      <c r="A81" s="2" t="s">
        <v>89</v>
      </c>
      <c r="B81" s="4">
        <v>52</v>
      </c>
      <c r="C81" s="5">
        <v>3.75</v>
      </c>
      <c r="D81" s="4">
        <v>6</v>
      </c>
      <c r="E81" s="5">
        <v>0.83</v>
      </c>
      <c r="F81" s="4">
        <v>45</v>
      </c>
      <c r="G81" s="5">
        <v>6.79</v>
      </c>
      <c r="H81" s="4">
        <v>1</v>
      </c>
    </row>
    <row r="82" spans="1:8" x14ac:dyDescent="0.2">
      <c r="A82" s="1" t="s">
        <v>5</v>
      </c>
      <c r="B82" s="4">
        <v>5760</v>
      </c>
      <c r="C82" s="5">
        <v>99.999999999999986</v>
      </c>
      <c r="D82" s="4">
        <v>1734</v>
      </c>
      <c r="E82" s="5">
        <v>100.00999999999999</v>
      </c>
      <c r="F82" s="4">
        <v>4019</v>
      </c>
      <c r="G82" s="5">
        <v>100</v>
      </c>
      <c r="H82" s="4">
        <v>6</v>
      </c>
    </row>
    <row r="83" spans="1:8" x14ac:dyDescent="0.2">
      <c r="A83" s="2" t="s">
        <v>75</v>
      </c>
      <c r="B83" s="4">
        <v>0</v>
      </c>
      <c r="C83" s="5">
        <v>0</v>
      </c>
      <c r="D83" s="4">
        <v>0</v>
      </c>
      <c r="E83" s="5">
        <v>0</v>
      </c>
      <c r="F83" s="4">
        <v>0</v>
      </c>
      <c r="G83" s="5">
        <v>0</v>
      </c>
      <c r="H83" s="4">
        <v>0</v>
      </c>
    </row>
    <row r="84" spans="1:8" x14ac:dyDescent="0.2">
      <c r="A84" s="2" t="s">
        <v>76</v>
      </c>
      <c r="B84" s="4">
        <v>347</v>
      </c>
      <c r="C84" s="5">
        <v>6.02</v>
      </c>
      <c r="D84" s="4">
        <v>22</v>
      </c>
      <c r="E84" s="5">
        <v>1.27</v>
      </c>
      <c r="F84" s="4">
        <v>325</v>
      </c>
      <c r="G84" s="5">
        <v>8.09</v>
      </c>
      <c r="H84" s="4">
        <v>0</v>
      </c>
    </row>
    <row r="85" spans="1:8" x14ac:dyDescent="0.2">
      <c r="A85" s="2" t="s">
        <v>77</v>
      </c>
      <c r="B85" s="4">
        <v>565</v>
      </c>
      <c r="C85" s="5">
        <v>9.81</v>
      </c>
      <c r="D85" s="4">
        <v>152</v>
      </c>
      <c r="E85" s="5">
        <v>8.77</v>
      </c>
      <c r="F85" s="4">
        <v>413</v>
      </c>
      <c r="G85" s="5">
        <v>10.28</v>
      </c>
      <c r="H85" s="4">
        <v>0</v>
      </c>
    </row>
    <row r="86" spans="1:8" x14ac:dyDescent="0.2">
      <c r="A86" s="2" t="s">
        <v>78</v>
      </c>
      <c r="B86" s="4">
        <v>3</v>
      </c>
      <c r="C86" s="5">
        <v>0.05</v>
      </c>
      <c r="D86" s="4">
        <v>0</v>
      </c>
      <c r="E86" s="5">
        <v>0</v>
      </c>
      <c r="F86" s="4">
        <v>3</v>
      </c>
      <c r="G86" s="5">
        <v>7.0000000000000007E-2</v>
      </c>
      <c r="H86" s="4">
        <v>0</v>
      </c>
    </row>
    <row r="87" spans="1:8" x14ac:dyDescent="0.2">
      <c r="A87" s="2" t="s">
        <v>79</v>
      </c>
      <c r="B87" s="4">
        <v>227</v>
      </c>
      <c r="C87" s="5">
        <v>3.94</v>
      </c>
      <c r="D87" s="4">
        <v>23</v>
      </c>
      <c r="E87" s="5">
        <v>1.33</v>
      </c>
      <c r="F87" s="4">
        <v>203</v>
      </c>
      <c r="G87" s="5">
        <v>5.05</v>
      </c>
      <c r="H87" s="4">
        <v>1</v>
      </c>
    </row>
    <row r="88" spans="1:8" x14ac:dyDescent="0.2">
      <c r="A88" s="2" t="s">
        <v>80</v>
      </c>
      <c r="B88" s="4">
        <v>75</v>
      </c>
      <c r="C88" s="5">
        <v>1.3</v>
      </c>
      <c r="D88" s="4">
        <v>2</v>
      </c>
      <c r="E88" s="5">
        <v>0.12</v>
      </c>
      <c r="F88" s="4">
        <v>72</v>
      </c>
      <c r="G88" s="5">
        <v>1.79</v>
      </c>
      <c r="H88" s="4">
        <v>1</v>
      </c>
    </row>
    <row r="89" spans="1:8" x14ac:dyDescent="0.2">
      <c r="A89" s="2" t="s">
        <v>81</v>
      </c>
      <c r="B89" s="4">
        <v>1529</v>
      </c>
      <c r="C89" s="5">
        <v>26.55</v>
      </c>
      <c r="D89" s="4">
        <v>273</v>
      </c>
      <c r="E89" s="5">
        <v>15.74</v>
      </c>
      <c r="F89" s="4">
        <v>1256</v>
      </c>
      <c r="G89" s="5">
        <v>31.25</v>
      </c>
      <c r="H89" s="4">
        <v>0</v>
      </c>
    </row>
    <row r="90" spans="1:8" x14ac:dyDescent="0.2">
      <c r="A90" s="2" t="s">
        <v>82</v>
      </c>
      <c r="B90" s="4">
        <v>53</v>
      </c>
      <c r="C90" s="5">
        <v>0.92</v>
      </c>
      <c r="D90" s="4">
        <v>4</v>
      </c>
      <c r="E90" s="5">
        <v>0.23</v>
      </c>
      <c r="F90" s="4">
        <v>49</v>
      </c>
      <c r="G90" s="5">
        <v>1.22</v>
      </c>
      <c r="H90" s="4">
        <v>0</v>
      </c>
    </row>
    <row r="91" spans="1:8" x14ac:dyDescent="0.2">
      <c r="A91" s="2" t="s">
        <v>83</v>
      </c>
      <c r="B91" s="4">
        <v>698</v>
      </c>
      <c r="C91" s="5">
        <v>12.12</v>
      </c>
      <c r="D91" s="4">
        <v>67</v>
      </c>
      <c r="E91" s="5">
        <v>3.86</v>
      </c>
      <c r="F91" s="4">
        <v>631</v>
      </c>
      <c r="G91" s="5">
        <v>15.7</v>
      </c>
      <c r="H91" s="4">
        <v>0</v>
      </c>
    </row>
    <row r="92" spans="1:8" x14ac:dyDescent="0.2">
      <c r="A92" s="2" t="s">
        <v>84</v>
      </c>
      <c r="B92" s="4">
        <v>856</v>
      </c>
      <c r="C92" s="5">
        <v>14.86</v>
      </c>
      <c r="D92" s="4">
        <v>382</v>
      </c>
      <c r="E92" s="5">
        <v>22.03</v>
      </c>
      <c r="F92" s="4">
        <v>474</v>
      </c>
      <c r="G92" s="5">
        <v>11.79</v>
      </c>
      <c r="H92" s="4">
        <v>0</v>
      </c>
    </row>
    <row r="93" spans="1:8" x14ac:dyDescent="0.2">
      <c r="A93" s="2" t="s">
        <v>85</v>
      </c>
      <c r="B93" s="4">
        <v>584</v>
      </c>
      <c r="C93" s="5">
        <v>10.14</v>
      </c>
      <c r="D93" s="4">
        <v>459</v>
      </c>
      <c r="E93" s="5">
        <v>26.47</v>
      </c>
      <c r="F93" s="4">
        <v>125</v>
      </c>
      <c r="G93" s="5">
        <v>3.11</v>
      </c>
      <c r="H93" s="4">
        <v>0</v>
      </c>
    </row>
    <row r="94" spans="1:8" x14ac:dyDescent="0.2">
      <c r="A94" s="2" t="s">
        <v>86</v>
      </c>
      <c r="B94" s="4">
        <v>316</v>
      </c>
      <c r="C94" s="5">
        <v>5.49</v>
      </c>
      <c r="D94" s="4">
        <v>196</v>
      </c>
      <c r="E94" s="5">
        <v>11.3</v>
      </c>
      <c r="F94" s="4">
        <v>120</v>
      </c>
      <c r="G94" s="5">
        <v>2.99</v>
      </c>
      <c r="H94" s="4">
        <v>0</v>
      </c>
    </row>
    <row r="95" spans="1:8" x14ac:dyDescent="0.2">
      <c r="A95" s="2" t="s">
        <v>87</v>
      </c>
      <c r="B95" s="4">
        <v>89</v>
      </c>
      <c r="C95" s="5">
        <v>1.55</v>
      </c>
      <c r="D95" s="4">
        <v>45</v>
      </c>
      <c r="E95" s="5">
        <v>2.6</v>
      </c>
      <c r="F95" s="4">
        <v>43</v>
      </c>
      <c r="G95" s="5">
        <v>1.07</v>
      </c>
      <c r="H95" s="4">
        <v>0</v>
      </c>
    </row>
    <row r="96" spans="1:8" x14ac:dyDescent="0.2">
      <c r="A96" s="2" t="s">
        <v>88</v>
      </c>
      <c r="B96" s="4">
        <v>158</v>
      </c>
      <c r="C96" s="5">
        <v>2.74</v>
      </c>
      <c r="D96" s="4">
        <v>92</v>
      </c>
      <c r="E96" s="5">
        <v>5.31</v>
      </c>
      <c r="F96" s="4">
        <v>65</v>
      </c>
      <c r="G96" s="5">
        <v>1.62</v>
      </c>
      <c r="H96" s="4">
        <v>1</v>
      </c>
    </row>
    <row r="97" spans="1:8" x14ac:dyDescent="0.2">
      <c r="A97" s="2" t="s">
        <v>89</v>
      </c>
      <c r="B97" s="4">
        <v>260</v>
      </c>
      <c r="C97" s="5">
        <v>4.51</v>
      </c>
      <c r="D97" s="4">
        <v>17</v>
      </c>
      <c r="E97" s="5">
        <v>0.98</v>
      </c>
      <c r="F97" s="4">
        <v>240</v>
      </c>
      <c r="G97" s="5">
        <v>5.97</v>
      </c>
      <c r="H97" s="4">
        <v>3</v>
      </c>
    </row>
    <row r="98" spans="1:8" x14ac:dyDescent="0.2">
      <c r="A98" s="1" t="s">
        <v>6</v>
      </c>
      <c r="B98" s="4">
        <v>2214</v>
      </c>
      <c r="C98" s="5">
        <v>100</v>
      </c>
      <c r="D98" s="4">
        <v>1162</v>
      </c>
      <c r="E98" s="5">
        <v>100</v>
      </c>
      <c r="F98" s="4">
        <v>1044</v>
      </c>
      <c r="G98" s="5">
        <v>100.00000000000001</v>
      </c>
      <c r="H98" s="4">
        <v>6</v>
      </c>
    </row>
    <row r="99" spans="1:8" x14ac:dyDescent="0.2">
      <c r="A99" s="2" t="s">
        <v>75</v>
      </c>
      <c r="B99" s="4">
        <v>0</v>
      </c>
      <c r="C99" s="5">
        <v>0</v>
      </c>
      <c r="D99" s="4">
        <v>0</v>
      </c>
      <c r="E99" s="5">
        <v>0</v>
      </c>
      <c r="F99" s="4">
        <v>0</v>
      </c>
      <c r="G99" s="5">
        <v>0</v>
      </c>
      <c r="H99" s="4">
        <v>0</v>
      </c>
    </row>
    <row r="100" spans="1:8" x14ac:dyDescent="0.2">
      <c r="A100" s="2" t="s">
        <v>76</v>
      </c>
      <c r="B100" s="4">
        <v>245</v>
      </c>
      <c r="C100" s="5">
        <v>11.07</v>
      </c>
      <c r="D100" s="4">
        <v>61</v>
      </c>
      <c r="E100" s="5">
        <v>5.25</v>
      </c>
      <c r="F100" s="4">
        <v>184</v>
      </c>
      <c r="G100" s="5">
        <v>17.62</v>
      </c>
      <c r="H100" s="4">
        <v>0</v>
      </c>
    </row>
    <row r="101" spans="1:8" x14ac:dyDescent="0.2">
      <c r="A101" s="2" t="s">
        <v>77</v>
      </c>
      <c r="B101" s="4">
        <v>366</v>
      </c>
      <c r="C101" s="5">
        <v>16.53</v>
      </c>
      <c r="D101" s="4">
        <v>163</v>
      </c>
      <c r="E101" s="5">
        <v>14.03</v>
      </c>
      <c r="F101" s="4">
        <v>203</v>
      </c>
      <c r="G101" s="5">
        <v>19.440000000000001</v>
      </c>
      <c r="H101" s="4">
        <v>0</v>
      </c>
    </row>
    <row r="102" spans="1:8" x14ac:dyDescent="0.2">
      <c r="A102" s="2" t="s">
        <v>78</v>
      </c>
      <c r="B102" s="4">
        <v>1</v>
      </c>
      <c r="C102" s="5">
        <v>0.05</v>
      </c>
      <c r="D102" s="4">
        <v>0</v>
      </c>
      <c r="E102" s="5">
        <v>0</v>
      </c>
      <c r="F102" s="4">
        <v>1</v>
      </c>
      <c r="G102" s="5">
        <v>0.1</v>
      </c>
      <c r="H102" s="4">
        <v>0</v>
      </c>
    </row>
    <row r="103" spans="1:8" x14ac:dyDescent="0.2">
      <c r="A103" s="2" t="s">
        <v>79</v>
      </c>
      <c r="B103" s="4">
        <v>10</v>
      </c>
      <c r="C103" s="5">
        <v>0.45</v>
      </c>
      <c r="D103" s="4">
        <v>1</v>
      </c>
      <c r="E103" s="5">
        <v>0.09</v>
      </c>
      <c r="F103" s="4">
        <v>9</v>
      </c>
      <c r="G103" s="5">
        <v>0.86</v>
      </c>
      <c r="H103" s="4">
        <v>0</v>
      </c>
    </row>
    <row r="104" spans="1:8" x14ac:dyDescent="0.2">
      <c r="A104" s="2" t="s">
        <v>80</v>
      </c>
      <c r="B104" s="4">
        <v>68</v>
      </c>
      <c r="C104" s="5">
        <v>3.07</v>
      </c>
      <c r="D104" s="4">
        <v>12</v>
      </c>
      <c r="E104" s="5">
        <v>1.03</v>
      </c>
      <c r="F104" s="4">
        <v>56</v>
      </c>
      <c r="G104" s="5">
        <v>5.36</v>
      </c>
      <c r="H104" s="4">
        <v>0</v>
      </c>
    </row>
    <row r="105" spans="1:8" x14ac:dyDescent="0.2">
      <c r="A105" s="2" t="s">
        <v>81</v>
      </c>
      <c r="B105" s="4">
        <v>528</v>
      </c>
      <c r="C105" s="5">
        <v>23.85</v>
      </c>
      <c r="D105" s="4">
        <v>278</v>
      </c>
      <c r="E105" s="5">
        <v>23.92</v>
      </c>
      <c r="F105" s="4">
        <v>249</v>
      </c>
      <c r="G105" s="5">
        <v>23.85</v>
      </c>
      <c r="H105" s="4">
        <v>1</v>
      </c>
    </row>
    <row r="106" spans="1:8" x14ac:dyDescent="0.2">
      <c r="A106" s="2" t="s">
        <v>82</v>
      </c>
      <c r="B106" s="4">
        <v>7</v>
      </c>
      <c r="C106" s="5">
        <v>0.32</v>
      </c>
      <c r="D106" s="4">
        <v>0</v>
      </c>
      <c r="E106" s="5">
        <v>0</v>
      </c>
      <c r="F106" s="4">
        <v>7</v>
      </c>
      <c r="G106" s="5">
        <v>0.67</v>
      </c>
      <c r="H106" s="4">
        <v>0</v>
      </c>
    </row>
    <row r="107" spans="1:8" x14ac:dyDescent="0.2">
      <c r="A107" s="2" t="s">
        <v>83</v>
      </c>
      <c r="B107" s="4">
        <v>211</v>
      </c>
      <c r="C107" s="5">
        <v>9.5299999999999994</v>
      </c>
      <c r="D107" s="4">
        <v>77</v>
      </c>
      <c r="E107" s="5">
        <v>6.63</v>
      </c>
      <c r="F107" s="4">
        <v>134</v>
      </c>
      <c r="G107" s="5">
        <v>12.84</v>
      </c>
      <c r="H107" s="4">
        <v>0</v>
      </c>
    </row>
    <row r="108" spans="1:8" x14ac:dyDescent="0.2">
      <c r="A108" s="2" t="s">
        <v>84</v>
      </c>
      <c r="B108" s="4">
        <v>74</v>
      </c>
      <c r="C108" s="5">
        <v>3.34</v>
      </c>
      <c r="D108" s="4">
        <v>31</v>
      </c>
      <c r="E108" s="5">
        <v>2.67</v>
      </c>
      <c r="F108" s="4">
        <v>43</v>
      </c>
      <c r="G108" s="5">
        <v>4.12</v>
      </c>
      <c r="H108" s="4">
        <v>0</v>
      </c>
    </row>
    <row r="109" spans="1:8" x14ac:dyDescent="0.2">
      <c r="A109" s="2" t="s">
        <v>85</v>
      </c>
      <c r="B109" s="4">
        <v>318</v>
      </c>
      <c r="C109" s="5">
        <v>14.36</v>
      </c>
      <c r="D109" s="4">
        <v>279</v>
      </c>
      <c r="E109" s="5">
        <v>24.01</v>
      </c>
      <c r="F109" s="4">
        <v>38</v>
      </c>
      <c r="G109" s="5">
        <v>3.64</v>
      </c>
      <c r="H109" s="4">
        <v>1</v>
      </c>
    </row>
    <row r="110" spans="1:8" x14ac:dyDescent="0.2">
      <c r="A110" s="2" t="s">
        <v>86</v>
      </c>
      <c r="B110" s="4">
        <v>190</v>
      </c>
      <c r="C110" s="5">
        <v>8.58</v>
      </c>
      <c r="D110" s="4">
        <v>159</v>
      </c>
      <c r="E110" s="5">
        <v>13.68</v>
      </c>
      <c r="F110" s="4">
        <v>31</v>
      </c>
      <c r="G110" s="5">
        <v>2.97</v>
      </c>
      <c r="H110" s="4">
        <v>0</v>
      </c>
    </row>
    <row r="111" spans="1:8" x14ac:dyDescent="0.2">
      <c r="A111" s="2" t="s">
        <v>87</v>
      </c>
      <c r="B111" s="4">
        <v>41</v>
      </c>
      <c r="C111" s="5">
        <v>1.85</v>
      </c>
      <c r="D111" s="4">
        <v>30</v>
      </c>
      <c r="E111" s="5">
        <v>2.58</v>
      </c>
      <c r="F111" s="4">
        <v>9</v>
      </c>
      <c r="G111" s="5">
        <v>0.86</v>
      </c>
      <c r="H111" s="4">
        <v>0</v>
      </c>
    </row>
    <row r="112" spans="1:8" x14ac:dyDescent="0.2">
      <c r="A112" s="2" t="s">
        <v>88</v>
      </c>
      <c r="B112" s="4">
        <v>101</v>
      </c>
      <c r="C112" s="5">
        <v>4.5599999999999996</v>
      </c>
      <c r="D112" s="4">
        <v>60</v>
      </c>
      <c r="E112" s="5">
        <v>5.16</v>
      </c>
      <c r="F112" s="4">
        <v>41</v>
      </c>
      <c r="G112" s="5">
        <v>3.93</v>
      </c>
      <c r="H112" s="4">
        <v>0</v>
      </c>
    </row>
    <row r="113" spans="1:8" x14ac:dyDescent="0.2">
      <c r="A113" s="2" t="s">
        <v>89</v>
      </c>
      <c r="B113" s="4">
        <v>54</v>
      </c>
      <c r="C113" s="5">
        <v>2.44</v>
      </c>
      <c r="D113" s="4">
        <v>11</v>
      </c>
      <c r="E113" s="5">
        <v>0.95</v>
      </c>
      <c r="F113" s="4">
        <v>39</v>
      </c>
      <c r="G113" s="5">
        <v>3.74</v>
      </c>
      <c r="H113" s="4">
        <v>4</v>
      </c>
    </row>
    <row r="114" spans="1:8" x14ac:dyDescent="0.2">
      <c r="A114" s="1" t="s">
        <v>7</v>
      </c>
      <c r="B114" s="4">
        <v>1874</v>
      </c>
      <c r="C114" s="5">
        <v>100</v>
      </c>
      <c r="D114" s="4">
        <v>953</v>
      </c>
      <c r="E114" s="5">
        <v>100.00000000000001</v>
      </c>
      <c r="F114" s="4">
        <v>917</v>
      </c>
      <c r="G114" s="5">
        <v>99.999999999999986</v>
      </c>
      <c r="H114" s="4">
        <v>2</v>
      </c>
    </row>
    <row r="115" spans="1:8" x14ac:dyDescent="0.2">
      <c r="A115" s="2" t="s">
        <v>75</v>
      </c>
      <c r="B115" s="4">
        <v>0</v>
      </c>
      <c r="C115" s="5">
        <v>0</v>
      </c>
      <c r="D115" s="4">
        <v>0</v>
      </c>
      <c r="E115" s="5">
        <v>0</v>
      </c>
      <c r="F115" s="4">
        <v>0</v>
      </c>
      <c r="G115" s="5">
        <v>0</v>
      </c>
      <c r="H115" s="4">
        <v>0</v>
      </c>
    </row>
    <row r="116" spans="1:8" x14ac:dyDescent="0.2">
      <c r="A116" s="2" t="s">
        <v>76</v>
      </c>
      <c r="B116" s="4">
        <v>218</v>
      </c>
      <c r="C116" s="5">
        <v>11.63</v>
      </c>
      <c r="D116" s="4">
        <v>44</v>
      </c>
      <c r="E116" s="5">
        <v>4.62</v>
      </c>
      <c r="F116" s="4">
        <v>174</v>
      </c>
      <c r="G116" s="5">
        <v>18.97</v>
      </c>
      <c r="H116" s="4">
        <v>0</v>
      </c>
    </row>
    <row r="117" spans="1:8" x14ac:dyDescent="0.2">
      <c r="A117" s="2" t="s">
        <v>77</v>
      </c>
      <c r="B117" s="4">
        <v>317</v>
      </c>
      <c r="C117" s="5">
        <v>16.920000000000002</v>
      </c>
      <c r="D117" s="4">
        <v>106</v>
      </c>
      <c r="E117" s="5">
        <v>11.12</v>
      </c>
      <c r="F117" s="4">
        <v>211</v>
      </c>
      <c r="G117" s="5">
        <v>23.01</v>
      </c>
      <c r="H117" s="4">
        <v>0</v>
      </c>
    </row>
    <row r="118" spans="1:8" x14ac:dyDescent="0.2">
      <c r="A118" s="2" t="s">
        <v>78</v>
      </c>
      <c r="B118" s="4">
        <v>2</v>
      </c>
      <c r="C118" s="5">
        <v>0.11</v>
      </c>
      <c r="D118" s="4">
        <v>0</v>
      </c>
      <c r="E118" s="5">
        <v>0</v>
      </c>
      <c r="F118" s="4">
        <v>2</v>
      </c>
      <c r="G118" s="5">
        <v>0.22</v>
      </c>
      <c r="H118" s="4">
        <v>0</v>
      </c>
    </row>
    <row r="119" spans="1:8" x14ac:dyDescent="0.2">
      <c r="A119" s="2" t="s">
        <v>79</v>
      </c>
      <c r="B119" s="4">
        <v>16</v>
      </c>
      <c r="C119" s="5">
        <v>0.85</v>
      </c>
      <c r="D119" s="4">
        <v>1</v>
      </c>
      <c r="E119" s="5">
        <v>0.1</v>
      </c>
      <c r="F119" s="4">
        <v>15</v>
      </c>
      <c r="G119" s="5">
        <v>1.64</v>
      </c>
      <c r="H119" s="4">
        <v>0</v>
      </c>
    </row>
    <row r="120" spans="1:8" x14ac:dyDescent="0.2">
      <c r="A120" s="2" t="s">
        <v>80</v>
      </c>
      <c r="B120" s="4">
        <v>63</v>
      </c>
      <c r="C120" s="5">
        <v>3.36</v>
      </c>
      <c r="D120" s="4">
        <v>14</v>
      </c>
      <c r="E120" s="5">
        <v>1.47</v>
      </c>
      <c r="F120" s="4">
        <v>49</v>
      </c>
      <c r="G120" s="5">
        <v>5.34</v>
      </c>
      <c r="H120" s="4">
        <v>0</v>
      </c>
    </row>
    <row r="121" spans="1:8" x14ac:dyDescent="0.2">
      <c r="A121" s="2" t="s">
        <v>81</v>
      </c>
      <c r="B121" s="4">
        <v>440</v>
      </c>
      <c r="C121" s="5">
        <v>23.48</v>
      </c>
      <c r="D121" s="4">
        <v>243</v>
      </c>
      <c r="E121" s="5">
        <v>25.5</v>
      </c>
      <c r="F121" s="4">
        <v>197</v>
      </c>
      <c r="G121" s="5">
        <v>21.48</v>
      </c>
      <c r="H121" s="4">
        <v>0</v>
      </c>
    </row>
    <row r="122" spans="1:8" x14ac:dyDescent="0.2">
      <c r="A122" s="2" t="s">
        <v>82</v>
      </c>
      <c r="B122" s="4">
        <v>4</v>
      </c>
      <c r="C122" s="5">
        <v>0.21</v>
      </c>
      <c r="D122" s="4">
        <v>0</v>
      </c>
      <c r="E122" s="5">
        <v>0</v>
      </c>
      <c r="F122" s="4">
        <v>4</v>
      </c>
      <c r="G122" s="5">
        <v>0.44</v>
      </c>
      <c r="H122" s="4">
        <v>0</v>
      </c>
    </row>
    <row r="123" spans="1:8" x14ac:dyDescent="0.2">
      <c r="A123" s="2" t="s">
        <v>83</v>
      </c>
      <c r="B123" s="4">
        <v>178</v>
      </c>
      <c r="C123" s="5">
        <v>9.5</v>
      </c>
      <c r="D123" s="4">
        <v>67</v>
      </c>
      <c r="E123" s="5">
        <v>7.03</v>
      </c>
      <c r="F123" s="4">
        <v>111</v>
      </c>
      <c r="G123" s="5">
        <v>12.1</v>
      </c>
      <c r="H123" s="4">
        <v>0</v>
      </c>
    </row>
    <row r="124" spans="1:8" x14ac:dyDescent="0.2">
      <c r="A124" s="2" t="s">
        <v>84</v>
      </c>
      <c r="B124" s="4">
        <v>48</v>
      </c>
      <c r="C124" s="5">
        <v>2.56</v>
      </c>
      <c r="D124" s="4">
        <v>16</v>
      </c>
      <c r="E124" s="5">
        <v>1.68</v>
      </c>
      <c r="F124" s="4">
        <v>31</v>
      </c>
      <c r="G124" s="5">
        <v>3.38</v>
      </c>
      <c r="H124" s="4">
        <v>0</v>
      </c>
    </row>
    <row r="125" spans="1:8" x14ac:dyDescent="0.2">
      <c r="A125" s="2" t="s">
        <v>85</v>
      </c>
      <c r="B125" s="4">
        <v>278</v>
      </c>
      <c r="C125" s="5">
        <v>14.83</v>
      </c>
      <c r="D125" s="4">
        <v>244</v>
      </c>
      <c r="E125" s="5">
        <v>25.6</v>
      </c>
      <c r="F125" s="4">
        <v>34</v>
      </c>
      <c r="G125" s="5">
        <v>3.71</v>
      </c>
      <c r="H125" s="4">
        <v>0</v>
      </c>
    </row>
    <row r="126" spans="1:8" x14ac:dyDescent="0.2">
      <c r="A126" s="2" t="s">
        <v>86</v>
      </c>
      <c r="B126" s="4">
        <v>161</v>
      </c>
      <c r="C126" s="5">
        <v>8.59</v>
      </c>
      <c r="D126" s="4">
        <v>135</v>
      </c>
      <c r="E126" s="5">
        <v>14.17</v>
      </c>
      <c r="F126" s="4">
        <v>26</v>
      </c>
      <c r="G126" s="5">
        <v>2.84</v>
      </c>
      <c r="H126" s="4">
        <v>0</v>
      </c>
    </row>
    <row r="127" spans="1:8" x14ac:dyDescent="0.2">
      <c r="A127" s="2" t="s">
        <v>87</v>
      </c>
      <c r="B127" s="4">
        <v>17</v>
      </c>
      <c r="C127" s="5">
        <v>0.91</v>
      </c>
      <c r="D127" s="4">
        <v>11</v>
      </c>
      <c r="E127" s="5">
        <v>1.1499999999999999</v>
      </c>
      <c r="F127" s="4">
        <v>5</v>
      </c>
      <c r="G127" s="5">
        <v>0.55000000000000004</v>
      </c>
      <c r="H127" s="4">
        <v>0</v>
      </c>
    </row>
    <row r="128" spans="1:8" x14ac:dyDescent="0.2">
      <c r="A128" s="2" t="s">
        <v>88</v>
      </c>
      <c r="B128" s="4">
        <v>67</v>
      </c>
      <c r="C128" s="5">
        <v>3.58</v>
      </c>
      <c r="D128" s="4">
        <v>46</v>
      </c>
      <c r="E128" s="5">
        <v>4.83</v>
      </c>
      <c r="F128" s="4">
        <v>19</v>
      </c>
      <c r="G128" s="5">
        <v>2.0699999999999998</v>
      </c>
      <c r="H128" s="4">
        <v>2</v>
      </c>
    </row>
    <row r="129" spans="1:8" x14ac:dyDescent="0.2">
      <c r="A129" s="2" t="s">
        <v>89</v>
      </c>
      <c r="B129" s="4">
        <v>65</v>
      </c>
      <c r="C129" s="5">
        <v>3.47</v>
      </c>
      <c r="D129" s="4">
        <v>26</v>
      </c>
      <c r="E129" s="5">
        <v>2.73</v>
      </c>
      <c r="F129" s="4">
        <v>39</v>
      </c>
      <c r="G129" s="5">
        <v>4.25</v>
      </c>
      <c r="H129" s="4">
        <v>0</v>
      </c>
    </row>
    <row r="130" spans="1:8" x14ac:dyDescent="0.2">
      <c r="A130" s="1" t="s">
        <v>8</v>
      </c>
      <c r="B130" s="4">
        <v>3103</v>
      </c>
      <c r="C130" s="5">
        <v>99.99</v>
      </c>
      <c r="D130" s="4">
        <v>1293</v>
      </c>
      <c r="E130" s="5">
        <v>100.00999999999999</v>
      </c>
      <c r="F130" s="4">
        <v>1802</v>
      </c>
      <c r="G130" s="5">
        <v>99.999999999999986</v>
      </c>
      <c r="H130" s="4">
        <v>6</v>
      </c>
    </row>
    <row r="131" spans="1:8" x14ac:dyDescent="0.2">
      <c r="A131" s="2" t="s">
        <v>75</v>
      </c>
      <c r="B131" s="4">
        <v>0</v>
      </c>
      <c r="C131" s="5">
        <v>0</v>
      </c>
      <c r="D131" s="4">
        <v>0</v>
      </c>
      <c r="E131" s="5">
        <v>0</v>
      </c>
      <c r="F131" s="4">
        <v>0</v>
      </c>
      <c r="G131" s="5">
        <v>0</v>
      </c>
      <c r="H131" s="4">
        <v>0</v>
      </c>
    </row>
    <row r="132" spans="1:8" x14ac:dyDescent="0.2">
      <c r="A132" s="2" t="s">
        <v>76</v>
      </c>
      <c r="B132" s="4">
        <v>140</v>
      </c>
      <c r="C132" s="5">
        <v>4.51</v>
      </c>
      <c r="D132" s="4">
        <v>21</v>
      </c>
      <c r="E132" s="5">
        <v>1.62</v>
      </c>
      <c r="F132" s="4">
        <v>118</v>
      </c>
      <c r="G132" s="5">
        <v>6.55</v>
      </c>
      <c r="H132" s="4">
        <v>1</v>
      </c>
    </row>
    <row r="133" spans="1:8" x14ac:dyDescent="0.2">
      <c r="A133" s="2" t="s">
        <v>77</v>
      </c>
      <c r="B133" s="4">
        <v>277</v>
      </c>
      <c r="C133" s="5">
        <v>8.93</v>
      </c>
      <c r="D133" s="4">
        <v>68</v>
      </c>
      <c r="E133" s="5">
        <v>5.26</v>
      </c>
      <c r="F133" s="4">
        <v>209</v>
      </c>
      <c r="G133" s="5">
        <v>11.6</v>
      </c>
      <c r="H133" s="4">
        <v>0</v>
      </c>
    </row>
    <row r="134" spans="1:8" x14ac:dyDescent="0.2">
      <c r="A134" s="2" t="s">
        <v>78</v>
      </c>
      <c r="B134" s="4">
        <v>1</v>
      </c>
      <c r="C134" s="5">
        <v>0.03</v>
      </c>
      <c r="D134" s="4">
        <v>0</v>
      </c>
      <c r="E134" s="5">
        <v>0</v>
      </c>
      <c r="F134" s="4">
        <v>1</v>
      </c>
      <c r="G134" s="5">
        <v>0.06</v>
      </c>
      <c r="H134" s="4">
        <v>0</v>
      </c>
    </row>
    <row r="135" spans="1:8" x14ac:dyDescent="0.2">
      <c r="A135" s="2" t="s">
        <v>79</v>
      </c>
      <c r="B135" s="4">
        <v>51</v>
      </c>
      <c r="C135" s="5">
        <v>1.64</v>
      </c>
      <c r="D135" s="4">
        <v>7</v>
      </c>
      <c r="E135" s="5">
        <v>0.54</v>
      </c>
      <c r="F135" s="4">
        <v>44</v>
      </c>
      <c r="G135" s="5">
        <v>2.44</v>
      </c>
      <c r="H135" s="4">
        <v>0</v>
      </c>
    </row>
    <row r="136" spans="1:8" x14ac:dyDescent="0.2">
      <c r="A136" s="2" t="s">
        <v>80</v>
      </c>
      <c r="B136" s="4">
        <v>8</v>
      </c>
      <c r="C136" s="5">
        <v>0.26</v>
      </c>
      <c r="D136" s="4">
        <v>0</v>
      </c>
      <c r="E136" s="5">
        <v>0</v>
      </c>
      <c r="F136" s="4">
        <v>7</v>
      </c>
      <c r="G136" s="5">
        <v>0.39</v>
      </c>
      <c r="H136" s="4">
        <v>1</v>
      </c>
    </row>
    <row r="137" spans="1:8" x14ac:dyDescent="0.2">
      <c r="A137" s="2" t="s">
        <v>81</v>
      </c>
      <c r="B137" s="4">
        <v>786</v>
      </c>
      <c r="C137" s="5">
        <v>25.33</v>
      </c>
      <c r="D137" s="4">
        <v>252</v>
      </c>
      <c r="E137" s="5">
        <v>19.489999999999998</v>
      </c>
      <c r="F137" s="4">
        <v>534</v>
      </c>
      <c r="G137" s="5">
        <v>29.63</v>
      </c>
      <c r="H137" s="4">
        <v>0</v>
      </c>
    </row>
    <row r="138" spans="1:8" x14ac:dyDescent="0.2">
      <c r="A138" s="2" t="s">
        <v>82</v>
      </c>
      <c r="B138" s="4">
        <v>18</v>
      </c>
      <c r="C138" s="5">
        <v>0.57999999999999996</v>
      </c>
      <c r="D138" s="4">
        <v>1</v>
      </c>
      <c r="E138" s="5">
        <v>0.08</v>
      </c>
      <c r="F138" s="4">
        <v>17</v>
      </c>
      <c r="G138" s="5">
        <v>0.94</v>
      </c>
      <c r="H138" s="4">
        <v>0</v>
      </c>
    </row>
    <row r="139" spans="1:8" x14ac:dyDescent="0.2">
      <c r="A139" s="2" t="s">
        <v>83</v>
      </c>
      <c r="B139" s="4">
        <v>499</v>
      </c>
      <c r="C139" s="5">
        <v>16.079999999999998</v>
      </c>
      <c r="D139" s="4">
        <v>118</v>
      </c>
      <c r="E139" s="5">
        <v>9.1300000000000008</v>
      </c>
      <c r="F139" s="4">
        <v>379</v>
      </c>
      <c r="G139" s="5">
        <v>21.03</v>
      </c>
      <c r="H139" s="4">
        <v>1</v>
      </c>
    </row>
    <row r="140" spans="1:8" x14ac:dyDescent="0.2">
      <c r="A140" s="2" t="s">
        <v>84</v>
      </c>
      <c r="B140" s="4">
        <v>410</v>
      </c>
      <c r="C140" s="5">
        <v>13.21</v>
      </c>
      <c r="D140" s="4">
        <v>245</v>
      </c>
      <c r="E140" s="5">
        <v>18.95</v>
      </c>
      <c r="F140" s="4">
        <v>165</v>
      </c>
      <c r="G140" s="5">
        <v>9.16</v>
      </c>
      <c r="H140" s="4">
        <v>0</v>
      </c>
    </row>
    <row r="141" spans="1:8" x14ac:dyDescent="0.2">
      <c r="A141" s="2" t="s">
        <v>85</v>
      </c>
      <c r="B141" s="4">
        <v>355</v>
      </c>
      <c r="C141" s="5">
        <v>11.44</v>
      </c>
      <c r="D141" s="4">
        <v>282</v>
      </c>
      <c r="E141" s="5">
        <v>21.81</v>
      </c>
      <c r="F141" s="4">
        <v>73</v>
      </c>
      <c r="G141" s="5">
        <v>4.05</v>
      </c>
      <c r="H141" s="4">
        <v>0</v>
      </c>
    </row>
    <row r="142" spans="1:8" x14ac:dyDescent="0.2">
      <c r="A142" s="2" t="s">
        <v>86</v>
      </c>
      <c r="B142" s="4">
        <v>225</v>
      </c>
      <c r="C142" s="5">
        <v>7.25</v>
      </c>
      <c r="D142" s="4">
        <v>122</v>
      </c>
      <c r="E142" s="5">
        <v>9.44</v>
      </c>
      <c r="F142" s="4">
        <v>103</v>
      </c>
      <c r="G142" s="5">
        <v>5.72</v>
      </c>
      <c r="H142" s="4">
        <v>0</v>
      </c>
    </row>
    <row r="143" spans="1:8" x14ac:dyDescent="0.2">
      <c r="A143" s="2" t="s">
        <v>87</v>
      </c>
      <c r="B143" s="4">
        <v>122</v>
      </c>
      <c r="C143" s="5">
        <v>3.93</v>
      </c>
      <c r="D143" s="4">
        <v>63</v>
      </c>
      <c r="E143" s="5">
        <v>4.87</v>
      </c>
      <c r="F143" s="4">
        <v>57</v>
      </c>
      <c r="G143" s="5">
        <v>3.16</v>
      </c>
      <c r="H143" s="4">
        <v>1</v>
      </c>
    </row>
    <row r="144" spans="1:8" x14ac:dyDescent="0.2">
      <c r="A144" s="2" t="s">
        <v>88</v>
      </c>
      <c r="B144" s="4">
        <v>146</v>
      </c>
      <c r="C144" s="5">
        <v>4.71</v>
      </c>
      <c r="D144" s="4">
        <v>98</v>
      </c>
      <c r="E144" s="5">
        <v>7.58</v>
      </c>
      <c r="F144" s="4">
        <v>47</v>
      </c>
      <c r="G144" s="5">
        <v>2.61</v>
      </c>
      <c r="H144" s="4">
        <v>1</v>
      </c>
    </row>
    <row r="145" spans="1:8" x14ac:dyDescent="0.2">
      <c r="A145" s="2" t="s">
        <v>89</v>
      </c>
      <c r="B145" s="4">
        <v>65</v>
      </c>
      <c r="C145" s="5">
        <v>2.09</v>
      </c>
      <c r="D145" s="4">
        <v>16</v>
      </c>
      <c r="E145" s="5">
        <v>1.24</v>
      </c>
      <c r="F145" s="4">
        <v>48</v>
      </c>
      <c r="G145" s="5">
        <v>2.66</v>
      </c>
      <c r="H145" s="4">
        <v>1</v>
      </c>
    </row>
    <row r="146" spans="1:8" x14ac:dyDescent="0.2">
      <c r="A146" s="1" t="s">
        <v>9</v>
      </c>
      <c r="B146" s="4">
        <v>2644</v>
      </c>
      <c r="C146" s="5">
        <v>100.02000000000001</v>
      </c>
      <c r="D146" s="4">
        <v>1042</v>
      </c>
      <c r="E146" s="5">
        <v>100.01</v>
      </c>
      <c r="F146" s="4">
        <v>1598</v>
      </c>
      <c r="G146" s="5">
        <v>100.00999999999998</v>
      </c>
      <c r="H146" s="4">
        <v>3</v>
      </c>
    </row>
    <row r="147" spans="1:8" x14ac:dyDescent="0.2">
      <c r="A147" s="2" t="s">
        <v>75</v>
      </c>
      <c r="B147" s="4">
        <v>0</v>
      </c>
      <c r="C147" s="5">
        <v>0</v>
      </c>
      <c r="D147" s="4">
        <v>0</v>
      </c>
      <c r="E147" s="5">
        <v>0</v>
      </c>
      <c r="F147" s="4">
        <v>0</v>
      </c>
      <c r="G147" s="5">
        <v>0</v>
      </c>
      <c r="H147" s="4">
        <v>0</v>
      </c>
    </row>
    <row r="148" spans="1:8" x14ac:dyDescent="0.2">
      <c r="A148" s="2" t="s">
        <v>76</v>
      </c>
      <c r="B148" s="4">
        <v>167</v>
      </c>
      <c r="C148" s="5">
        <v>6.32</v>
      </c>
      <c r="D148" s="4">
        <v>13</v>
      </c>
      <c r="E148" s="5">
        <v>1.25</v>
      </c>
      <c r="F148" s="4">
        <v>154</v>
      </c>
      <c r="G148" s="5">
        <v>9.64</v>
      </c>
      <c r="H148" s="4">
        <v>0</v>
      </c>
    </row>
    <row r="149" spans="1:8" x14ac:dyDescent="0.2">
      <c r="A149" s="2" t="s">
        <v>77</v>
      </c>
      <c r="B149" s="4">
        <v>213</v>
      </c>
      <c r="C149" s="5">
        <v>8.06</v>
      </c>
      <c r="D149" s="4">
        <v>73</v>
      </c>
      <c r="E149" s="5">
        <v>7.01</v>
      </c>
      <c r="F149" s="4">
        <v>140</v>
      </c>
      <c r="G149" s="5">
        <v>8.76</v>
      </c>
      <c r="H149" s="4">
        <v>0</v>
      </c>
    </row>
    <row r="150" spans="1:8" x14ac:dyDescent="0.2">
      <c r="A150" s="2" t="s">
        <v>78</v>
      </c>
      <c r="B150" s="4">
        <v>1</v>
      </c>
      <c r="C150" s="5">
        <v>0.04</v>
      </c>
      <c r="D150" s="4">
        <v>0</v>
      </c>
      <c r="E150" s="5">
        <v>0</v>
      </c>
      <c r="F150" s="4">
        <v>1</v>
      </c>
      <c r="G150" s="5">
        <v>0.06</v>
      </c>
      <c r="H150" s="4">
        <v>0</v>
      </c>
    </row>
    <row r="151" spans="1:8" x14ac:dyDescent="0.2">
      <c r="A151" s="2" t="s">
        <v>79</v>
      </c>
      <c r="B151" s="4">
        <v>39</v>
      </c>
      <c r="C151" s="5">
        <v>1.48</v>
      </c>
      <c r="D151" s="4">
        <v>2</v>
      </c>
      <c r="E151" s="5">
        <v>0.19</v>
      </c>
      <c r="F151" s="4">
        <v>36</v>
      </c>
      <c r="G151" s="5">
        <v>2.25</v>
      </c>
      <c r="H151" s="4">
        <v>1</v>
      </c>
    </row>
    <row r="152" spans="1:8" x14ac:dyDescent="0.2">
      <c r="A152" s="2" t="s">
        <v>80</v>
      </c>
      <c r="B152" s="4">
        <v>21</v>
      </c>
      <c r="C152" s="5">
        <v>0.79</v>
      </c>
      <c r="D152" s="4">
        <v>2</v>
      </c>
      <c r="E152" s="5">
        <v>0.19</v>
      </c>
      <c r="F152" s="4">
        <v>19</v>
      </c>
      <c r="G152" s="5">
        <v>1.19</v>
      </c>
      <c r="H152" s="4">
        <v>0</v>
      </c>
    </row>
    <row r="153" spans="1:8" x14ac:dyDescent="0.2">
      <c r="A153" s="2" t="s">
        <v>81</v>
      </c>
      <c r="B153" s="4">
        <v>863</v>
      </c>
      <c r="C153" s="5">
        <v>32.64</v>
      </c>
      <c r="D153" s="4">
        <v>301</v>
      </c>
      <c r="E153" s="5">
        <v>28.89</v>
      </c>
      <c r="F153" s="4">
        <v>562</v>
      </c>
      <c r="G153" s="5">
        <v>35.17</v>
      </c>
      <c r="H153" s="4">
        <v>0</v>
      </c>
    </row>
    <row r="154" spans="1:8" x14ac:dyDescent="0.2">
      <c r="A154" s="2" t="s">
        <v>82</v>
      </c>
      <c r="B154" s="4">
        <v>16</v>
      </c>
      <c r="C154" s="5">
        <v>0.61</v>
      </c>
      <c r="D154" s="4">
        <v>1</v>
      </c>
      <c r="E154" s="5">
        <v>0.1</v>
      </c>
      <c r="F154" s="4">
        <v>15</v>
      </c>
      <c r="G154" s="5">
        <v>0.94</v>
      </c>
      <c r="H154" s="4">
        <v>0</v>
      </c>
    </row>
    <row r="155" spans="1:8" x14ac:dyDescent="0.2">
      <c r="A155" s="2" t="s">
        <v>83</v>
      </c>
      <c r="B155" s="4">
        <v>438</v>
      </c>
      <c r="C155" s="5">
        <v>16.57</v>
      </c>
      <c r="D155" s="4">
        <v>96</v>
      </c>
      <c r="E155" s="5">
        <v>9.2100000000000009</v>
      </c>
      <c r="F155" s="4">
        <v>342</v>
      </c>
      <c r="G155" s="5">
        <v>21.4</v>
      </c>
      <c r="H155" s="4">
        <v>0</v>
      </c>
    </row>
    <row r="156" spans="1:8" x14ac:dyDescent="0.2">
      <c r="A156" s="2" t="s">
        <v>84</v>
      </c>
      <c r="B156" s="4">
        <v>153</v>
      </c>
      <c r="C156" s="5">
        <v>5.79</v>
      </c>
      <c r="D156" s="4">
        <v>68</v>
      </c>
      <c r="E156" s="5">
        <v>6.53</v>
      </c>
      <c r="F156" s="4">
        <v>85</v>
      </c>
      <c r="G156" s="5">
        <v>5.32</v>
      </c>
      <c r="H156" s="4">
        <v>0</v>
      </c>
    </row>
    <row r="157" spans="1:8" x14ac:dyDescent="0.2">
      <c r="A157" s="2" t="s">
        <v>85</v>
      </c>
      <c r="B157" s="4">
        <v>378</v>
      </c>
      <c r="C157" s="5">
        <v>14.3</v>
      </c>
      <c r="D157" s="4">
        <v>302</v>
      </c>
      <c r="E157" s="5">
        <v>28.98</v>
      </c>
      <c r="F157" s="4">
        <v>76</v>
      </c>
      <c r="G157" s="5">
        <v>4.76</v>
      </c>
      <c r="H157" s="4">
        <v>0</v>
      </c>
    </row>
    <row r="158" spans="1:8" x14ac:dyDescent="0.2">
      <c r="A158" s="2" t="s">
        <v>86</v>
      </c>
      <c r="B158" s="4">
        <v>156</v>
      </c>
      <c r="C158" s="5">
        <v>5.9</v>
      </c>
      <c r="D158" s="4">
        <v>100</v>
      </c>
      <c r="E158" s="5">
        <v>9.6</v>
      </c>
      <c r="F158" s="4">
        <v>56</v>
      </c>
      <c r="G158" s="5">
        <v>3.5</v>
      </c>
      <c r="H158" s="4">
        <v>0</v>
      </c>
    </row>
    <row r="159" spans="1:8" x14ac:dyDescent="0.2">
      <c r="A159" s="2" t="s">
        <v>87</v>
      </c>
      <c r="B159" s="4">
        <v>40</v>
      </c>
      <c r="C159" s="5">
        <v>1.51</v>
      </c>
      <c r="D159" s="4">
        <v>20</v>
      </c>
      <c r="E159" s="5">
        <v>1.92</v>
      </c>
      <c r="F159" s="4">
        <v>18</v>
      </c>
      <c r="G159" s="5">
        <v>1.1299999999999999</v>
      </c>
      <c r="H159" s="4">
        <v>1</v>
      </c>
    </row>
    <row r="160" spans="1:8" x14ac:dyDescent="0.2">
      <c r="A160" s="2" t="s">
        <v>88</v>
      </c>
      <c r="B160" s="4">
        <v>81</v>
      </c>
      <c r="C160" s="5">
        <v>3.06</v>
      </c>
      <c r="D160" s="4">
        <v>47</v>
      </c>
      <c r="E160" s="5">
        <v>4.51</v>
      </c>
      <c r="F160" s="4">
        <v>33</v>
      </c>
      <c r="G160" s="5">
        <v>2.0699999999999998</v>
      </c>
      <c r="H160" s="4">
        <v>1</v>
      </c>
    </row>
    <row r="161" spans="1:8" x14ac:dyDescent="0.2">
      <c r="A161" s="2" t="s">
        <v>89</v>
      </c>
      <c r="B161" s="4">
        <v>78</v>
      </c>
      <c r="C161" s="5">
        <v>2.95</v>
      </c>
      <c r="D161" s="4">
        <v>17</v>
      </c>
      <c r="E161" s="5">
        <v>1.63</v>
      </c>
      <c r="F161" s="4">
        <v>61</v>
      </c>
      <c r="G161" s="5">
        <v>3.82</v>
      </c>
      <c r="H161" s="4">
        <v>0</v>
      </c>
    </row>
    <row r="162" spans="1:8" x14ac:dyDescent="0.2">
      <c r="A162" s="1" t="s">
        <v>10</v>
      </c>
      <c r="B162" s="4">
        <v>2313</v>
      </c>
      <c r="C162" s="5">
        <v>100.01000000000002</v>
      </c>
      <c r="D162" s="4">
        <v>1007</v>
      </c>
      <c r="E162" s="5">
        <v>100</v>
      </c>
      <c r="F162" s="4">
        <v>1302</v>
      </c>
      <c r="G162" s="5">
        <v>99.999999999999986</v>
      </c>
      <c r="H162" s="4">
        <v>3</v>
      </c>
    </row>
    <row r="163" spans="1:8" x14ac:dyDescent="0.2">
      <c r="A163" s="2" t="s">
        <v>75</v>
      </c>
      <c r="B163" s="4">
        <v>0</v>
      </c>
      <c r="C163" s="5">
        <v>0</v>
      </c>
      <c r="D163" s="4">
        <v>0</v>
      </c>
      <c r="E163" s="5">
        <v>0</v>
      </c>
      <c r="F163" s="4">
        <v>0</v>
      </c>
      <c r="G163" s="5">
        <v>0</v>
      </c>
      <c r="H163" s="4">
        <v>0</v>
      </c>
    </row>
    <row r="164" spans="1:8" x14ac:dyDescent="0.2">
      <c r="A164" s="2" t="s">
        <v>76</v>
      </c>
      <c r="B164" s="4">
        <v>257</v>
      </c>
      <c r="C164" s="5">
        <v>11.11</v>
      </c>
      <c r="D164" s="4">
        <v>43</v>
      </c>
      <c r="E164" s="5">
        <v>4.2699999999999996</v>
      </c>
      <c r="F164" s="4">
        <v>214</v>
      </c>
      <c r="G164" s="5">
        <v>16.440000000000001</v>
      </c>
      <c r="H164" s="4">
        <v>0</v>
      </c>
    </row>
    <row r="165" spans="1:8" x14ac:dyDescent="0.2">
      <c r="A165" s="2" t="s">
        <v>77</v>
      </c>
      <c r="B165" s="4">
        <v>597</v>
      </c>
      <c r="C165" s="5">
        <v>25.81</v>
      </c>
      <c r="D165" s="4">
        <v>135</v>
      </c>
      <c r="E165" s="5">
        <v>13.41</v>
      </c>
      <c r="F165" s="4">
        <v>462</v>
      </c>
      <c r="G165" s="5">
        <v>35.479999999999997</v>
      </c>
      <c r="H165" s="4">
        <v>0</v>
      </c>
    </row>
    <row r="166" spans="1:8" x14ac:dyDescent="0.2">
      <c r="A166" s="2" t="s">
        <v>78</v>
      </c>
      <c r="B166" s="4">
        <v>3</v>
      </c>
      <c r="C166" s="5">
        <v>0.13</v>
      </c>
      <c r="D166" s="4">
        <v>0</v>
      </c>
      <c r="E166" s="5">
        <v>0</v>
      </c>
      <c r="F166" s="4">
        <v>3</v>
      </c>
      <c r="G166" s="5">
        <v>0.23</v>
      </c>
      <c r="H166" s="4">
        <v>0</v>
      </c>
    </row>
    <row r="167" spans="1:8" x14ac:dyDescent="0.2">
      <c r="A167" s="2" t="s">
        <v>79</v>
      </c>
      <c r="B167" s="4">
        <v>11</v>
      </c>
      <c r="C167" s="5">
        <v>0.48</v>
      </c>
      <c r="D167" s="4">
        <v>0</v>
      </c>
      <c r="E167" s="5">
        <v>0</v>
      </c>
      <c r="F167" s="4">
        <v>11</v>
      </c>
      <c r="G167" s="5">
        <v>0.84</v>
      </c>
      <c r="H167" s="4">
        <v>0</v>
      </c>
    </row>
    <row r="168" spans="1:8" x14ac:dyDescent="0.2">
      <c r="A168" s="2" t="s">
        <v>80</v>
      </c>
      <c r="B168" s="4">
        <v>34</v>
      </c>
      <c r="C168" s="5">
        <v>1.47</v>
      </c>
      <c r="D168" s="4">
        <v>5</v>
      </c>
      <c r="E168" s="5">
        <v>0.5</v>
      </c>
      <c r="F168" s="4">
        <v>29</v>
      </c>
      <c r="G168" s="5">
        <v>2.23</v>
      </c>
      <c r="H168" s="4">
        <v>0</v>
      </c>
    </row>
    <row r="169" spans="1:8" x14ac:dyDescent="0.2">
      <c r="A169" s="2" t="s">
        <v>81</v>
      </c>
      <c r="B169" s="4">
        <v>421</v>
      </c>
      <c r="C169" s="5">
        <v>18.2</v>
      </c>
      <c r="D169" s="4">
        <v>215</v>
      </c>
      <c r="E169" s="5">
        <v>21.35</v>
      </c>
      <c r="F169" s="4">
        <v>206</v>
      </c>
      <c r="G169" s="5">
        <v>15.82</v>
      </c>
      <c r="H169" s="4">
        <v>0</v>
      </c>
    </row>
    <row r="170" spans="1:8" x14ac:dyDescent="0.2">
      <c r="A170" s="2" t="s">
        <v>82</v>
      </c>
      <c r="B170" s="4">
        <v>6</v>
      </c>
      <c r="C170" s="5">
        <v>0.26</v>
      </c>
      <c r="D170" s="4">
        <v>1</v>
      </c>
      <c r="E170" s="5">
        <v>0.1</v>
      </c>
      <c r="F170" s="4">
        <v>5</v>
      </c>
      <c r="G170" s="5">
        <v>0.38</v>
      </c>
      <c r="H170" s="4">
        <v>0</v>
      </c>
    </row>
    <row r="171" spans="1:8" x14ac:dyDescent="0.2">
      <c r="A171" s="2" t="s">
        <v>83</v>
      </c>
      <c r="B171" s="4">
        <v>235</v>
      </c>
      <c r="C171" s="5">
        <v>10.16</v>
      </c>
      <c r="D171" s="4">
        <v>72</v>
      </c>
      <c r="E171" s="5">
        <v>7.15</v>
      </c>
      <c r="F171" s="4">
        <v>162</v>
      </c>
      <c r="G171" s="5">
        <v>12.44</v>
      </c>
      <c r="H171" s="4">
        <v>1</v>
      </c>
    </row>
    <row r="172" spans="1:8" x14ac:dyDescent="0.2">
      <c r="A172" s="2" t="s">
        <v>84</v>
      </c>
      <c r="B172" s="4">
        <v>67</v>
      </c>
      <c r="C172" s="5">
        <v>2.9</v>
      </c>
      <c r="D172" s="4">
        <v>25</v>
      </c>
      <c r="E172" s="5">
        <v>2.48</v>
      </c>
      <c r="F172" s="4">
        <v>42</v>
      </c>
      <c r="G172" s="5">
        <v>3.23</v>
      </c>
      <c r="H172" s="4">
        <v>0</v>
      </c>
    </row>
    <row r="173" spans="1:8" x14ac:dyDescent="0.2">
      <c r="A173" s="2" t="s">
        <v>85</v>
      </c>
      <c r="B173" s="4">
        <v>259</v>
      </c>
      <c r="C173" s="5">
        <v>11.2</v>
      </c>
      <c r="D173" s="4">
        <v>224</v>
      </c>
      <c r="E173" s="5">
        <v>22.24</v>
      </c>
      <c r="F173" s="4">
        <v>35</v>
      </c>
      <c r="G173" s="5">
        <v>2.69</v>
      </c>
      <c r="H173" s="4">
        <v>0</v>
      </c>
    </row>
    <row r="174" spans="1:8" x14ac:dyDescent="0.2">
      <c r="A174" s="2" t="s">
        <v>86</v>
      </c>
      <c r="B174" s="4">
        <v>178</v>
      </c>
      <c r="C174" s="5">
        <v>7.7</v>
      </c>
      <c r="D174" s="4">
        <v>147</v>
      </c>
      <c r="E174" s="5">
        <v>14.6</v>
      </c>
      <c r="F174" s="4">
        <v>31</v>
      </c>
      <c r="G174" s="5">
        <v>2.38</v>
      </c>
      <c r="H174" s="4">
        <v>0</v>
      </c>
    </row>
    <row r="175" spans="1:8" x14ac:dyDescent="0.2">
      <c r="A175" s="2" t="s">
        <v>87</v>
      </c>
      <c r="B175" s="4">
        <v>51</v>
      </c>
      <c r="C175" s="5">
        <v>2.2000000000000002</v>
      </c>
      <c r="D175" s="4">
        <v>36</v>
      </c>
      <c r="E175" s="5">
        <v>3.57</v>
      </c>
      <c r="F175" s="4">
        <v>14</v>
      </c>
      <c r="G175" s="5">
        <v>1.08</v>
      </c>
      <c r="H175" s="4">
        <v>0</v>
      </c>
    </row>
    <row r="176" spans="1:8" x14ac:dyDescent="0.2">
      <c r="A176" s="2" t="s">
        <v>88</v>
      </c>
      <c r="B176" s="4">
        <v>102</v>
      </c>
      <c r="C176" s="5">
        <v>4.41</v>
      </c>
      <c r="D176" s="4">
        <v>63</v>
      </c>
      <c r="E176" s="5">
        <v>6.26</v>
      </c>
      <c r="F176" s="4">
        <v>38</v>
      </c>
      <c r="G176" s="5">
        <v>2.92</v>
      </c>
      <c r="H176" s="4">
        <v>1</v>
      </c>
    </row>
    <row r="177" spans="1:8" x14ac:dyDescent="0.2">
      <c r="A177" s="2" t="s">
        <v>89</v>
      </c>
      <c r="B177" s="4">
        <v>92</v>
      </c>
      <c r="C177" s="5">
        <v>3.98</v>
      </c>
      <c r="D177" s="4">
        <v>41</v>
      </c>
      <c r="E177" s="5">
        <v>4.07</v>
      </c>
      <c r="F177" s="4">
        <v>50</v>
      </c>
      <c r="G177" s="5">
        <v>3.84</v>
      </c>
      <c r="H177" s="4">
        <v>1</v>
      </c>
    </row>
    <row r="178" spans="1:8" x14ac:dyDescent="0.2">
      <c r="A178" s="1" t="s">
        <v>11</v>
      </c>
      <c r="B178" s="4">
        <v>3270</v>
      </c>
      <c r="C178" s="5">
        <v>100.00999999999999</v>
      </c>
      <c r="D178" s="4">
        <v>1615</v>
      </c>
      <c r="E178" s="5">
        <v>100.00999999999999</v>
      </c>
      <c r="F178" s="4">
        <v>1651</v>
      </c>
      <c r="G178" s="5">
        <v>99.990000000000023</v>
      </c>
      <c r="H178" s="4">
        <v>2</v>
      </c>
    </row>
    <row r="179" spans="1:8" x14ac:dyDescent="0.2">
      <c r="A179" s="2" t="s">
        <v>75</v>
      </c>
      <c r="B179" s="4">
        <v>0</v>
      </c>
      <c r="C179" s="5">
        <v>0</v>
      </c>
      <c r="D179" s="4">
        <v>0</v>
      </c>
      <c r="E179" s="5">
        <v>0</v>
      </c>
      <c r="F179" s="4">
        <v>0</v>
      </c>
      <c r="G179" s="5">
        <v>0</v>
      </c>
      <c r="H179" s="4">
        <v>0</v>
      </c>
    </row>
    <row r="180" spans="1:8" x14ac:dyDescent="0.2">
      <c r="A180" s="2" t="s">
        <v>76</v>
      </c>
      <c r="B180" s="4">
        <v>416</v>
      </c>
      <c r="C180" s="5">
        <v>12.72</v>
      </c>
      <c r="D180" s="4">
        <v>64</v>
      </c>
      <c r="E180" s="5">
        <v>3.96</v>
      </c>
      <c r="F180" s="4">
        <v>352</v>
      </c>
      <c r="G180" s="5">
        <v>21.32</v>
      </c>
      <c r="H180" s="4">
        <v>0</v>
      </c>
    </row>
    <row r="181" spans="1:8" x14ac:dyDescent="0.2">
      <c r="A181" s="2" t="s">
        <v>77</v>
      </c>
      <c r="B181" s="4">
        <v>209</v>
      </c>
      <c r="C181" s="5">
        <v>6.39</v>
      </c>
      <c r="D181" s="4">
        <v>55</v>
      </c>
      <c r="E181" s="5">
        <v>3.41</v>
      </c>
      <c r="F181" s="4">
        <v>154</v>
      </c>
      <c r="G181" s="5">
        <v>9.33</v>
      </c>
      <c r="H181" s="4">
        <v>0</v>
      </c>
    </row>
    <row r="182" spans="1:8" x14ac:dyDescent="0.2">
      <c r="A182" s="2" t="s">
        <v>78</v>
      </c>
      <c r="B182" s="4">
        <v>5</v>
      </c>
      <c r="C182" s="5">
        <v>0.15</v>
      </c>
      <c r="D182" s="4">
        <v>0</v>
      </c>
      <c r="E182" s="5">
        <v>0</v>
      </c>
      <c r="F182" s="4">
        <v>4</v>
      </c>
      <c r="G182" s="5">
        <v>0.24</v>
      </c>
      <c r="H182" s="4">
        <v>0</v>
      </c>
    </row>
    <row r="183" spans="1:8" x14ac:dyDescent="0.2">
      <c r="A183" s="2" t="s">
        <v>79</v>
      </c>
      <c r="B183" s="4">
        <v>52</v>
      </c>
      <c r="C183" s="5">
        <v>1.59</v>
      </c>
      <c r="D183" s="4">
        <v>2</v>
      </c>
      <c r="E183" s="5">
        <v>0.12</v>
      </c>
      <c r="F183" s="4">
        <v>50</v>
      </c>
      <c r="G183" s="5">
        <v>3.03</v>
      </c>
      <c r="H183" s="4">
        <v>0</v>
      </c>
    </row>
    <row r="184" spans="1:8" x14ac:dyDescent="0.2">
      <c r="A184" s="2" t="s">
        <v>80</v>
      </c>
      <c r="B184" s="4">
        <v>48</v>
      </c>
      <c r="C184" s="5">
        <v>1.47</v>
      </c>
      <c r="D184" s="4">
        <v>24</v>
      </c>
      <c r="E184" s="5">
        <v>1.49</v>
      </c>
      <c r="F184" s="4">
        <v>24</v>
      </c>
      <c r="G184" s="5">
        <v>1.45</v>
      </c>
      <c r="H184" s="4">
        <v>0</v>
      </c>
    </row>
    <row r="185" spans="1:8" x14ac:dyDescent="0.2">
      <c r="A185" s="2" t="s">
        <v>81</v>
      </c>
      <c r="B185" s="4">
        <v>567</v>
      </c>
      <c r="C185" s="5">
        <v>17.34</v>
      </c>
      <c r="D185" s="4">
        <v>253</v>
      </c>
      <c r="E185" s="5">
        <v>15.67</v>
      </c>
      <c r="F185" s="4">
        <v>314</v>
      </c>
      <c r="G185" s="5">
        <v>19.02</v>
      </c>
      <c r="H185" s="4">
        <v>0</v>
      </c>
    </row>
    <row r="186" spans="1:8" x14ac:dyDescent="0.2">
      <c r="A186" s="2" t="s">
        <v>82</v>
      </c>
      <c r="B186" s="4">
        <v>21</v>
      </c>
      <c r="C186" s="5">
        <v>0.64</v>
      </c>
      <c r="D186" s="4">
        <v>3</v>
      </c>
      <c r="E186" s="5">
        <v>0.19</v>
      </c>
      <c r="F186" s="4">
        <v>18</v>
      </c>
      <c r="G186" s="5">
        <v>1.0900000000000001</v>
      </c>
      <c r="H186" s="4">
        <v>0</v>
      </c>
    </row>
    <row r="187" spans="1:8" x14ac:dyDescent="0.2">
      <c r="A187" s="2" t="s">
        <v>83</v>
      </c>
      <c r="B187" s="4">
        <v>625</v>
      </c>
      <c r="C187" s="5">
        <v>19.11</v>
      </c>
      <c r="D187" s="4">
        <v>267</v>
      </c>
      <c r="E187" s="5">
        <v>16.53</v>
      </c>
      <c r="F187" s="4">
        <v>357</v>
      </c>
      <c r="G187" s="5">
        <v>21.62</v>
      </c>
      <c r="H187" s="4">
        <v>1</v>
      </c>
    </row>
    <row r="188" spans="1:8" x14ac:dyDescent="0.2">
      <c r="A188" s="2" t="s">
        <v>84</v>
      </c>
      <c r="B188" s="4">
        <v>164</v>
      </c>
      <c r="C188" s="5">
        <v>5.0199999999999996</v>
      </c>
      <c r="D188" s="4">
        <v>74</v>
      </c>
      <c r="E188" s="5">
        <v>4.58</v>
      </c>
      <c r="F188" s="4">
        <v>90</v>
      </c>
      <c r="G188" s="5">
        <v>5.45</v>
      </c>
      <c r="H188" s="4">
        <v>0</v>
      </c>
    </row>
    <row r="189" spans="1:8" x14ac:dyDescent="0.2">
      <c r="A189" s="2" t="s">
        <v>85</v>
      </c>
      <c r="B189" s="4">
        <v>426</v>
      </c>
      <c r="C189" s="5">
        <v>13.03</v>
      </c>
      <c r="D189" s="4">
        <v>378</v>
      </c>
      <c r="E189" s="5">
        <v>23.41</v>
      </c>
      <c r="F189" s="4">
        <v>48</v>
      </c>
      <c r="G189" s="5">
        <v>2.91</v>
      </c>
      <c r="H189" s="4">
        <v>0</v>
      </c>
    </row>
    <row r="190" spans="1:8" x14ac:dyDescent="0.2">
      <c r="A190" s="2" t="s">
        <v>86</v>
      </c>
      <c r="B190" s="4">
        <v>358</v>
      </c>
      <c r="C190" s="5">
        <v>10.95</v>
      </c>
      <c r="D190" s="4">
        <v>289</v>
      </c>
      <c r="E190" s="5">
        <v>17.89</v>
      </c>
      <c r="F190" s="4">
        <v>69</v>
      </c>
      <c r="G190" s="5">
        <v>4.18</v>
      </c>
      <c r="H190" s="4">
        <v>0</v>
      </c>
    </row>
    <row r="191" spans="1:8" x14ac:dyDescent="0.2">
      <c r="A191" s="2" t="s">
        <v>87</v>
      </c>
      <c r="B191" s="4">
        <v>86</v>
      </c>
      <c r="C191" s="5">
        <v>2.63</v>
      </c>
      <c r="D191" s="4">
        <v>61</v>
      </c>
      <c r="E191" s="5">
        <v>3.78</v>
      </c>
      <c r="F191" s="4">
        <v>24</v>
      </c>
      <c r="G191" s="5">
        <v>1.45</v>
      </c>
      <c r="H191" s="4">
        <v>0</v>
      </c>
    </row>
    <row r="192" spans="1:8" x14ac:dyDescent="0.2">
      <c r="A192" s="2" t="s">
        <v>88</v>
      </c>
      <c r="B192" s="4">
        <v>198</v>
      </c>
      <c r="C192" s="5">
        <v>6.06</v>
      </c>
      <c r="D192" s="4">
        <v>125</v>
      </c>
      <c r="E192" s="5">
        <v>7.74</v>
      </c>
      <c r="F192" s="4">
        <v>72</v>
      </c>
      <c r="G192" s="5">
        <v>4.3600000000000003</v>
      </c>
      <c r="H192" s="4">
        <v>1</v>
      </c>
    </row>
    <row r="193" spans="1:8" x14ac:dyDescent="0.2">
      <c r="A193" s="2" t="s">
        <v>89</v>
      </c>
      <c r="B193" s="4">
        <v>95</v>
      </c>
      <c r="C193" s="5">
        <v>2.91</v>
      </c>
      <c r="D193" s="4">
        <v>20</v>
      </c>
      <c r="E193" s="5">
        <v>1.24</v>
      </c>
      <c r="F193" s="4">
        <v>75</v>
      </c>
      <c r="G193" s="5">
        <v>4.54</v>
      </c>
      <c r="H193" s="4">
        <v>0</v>
      </c>
    </row>
    <row r="194" spans="1:8" x14ac:dyDescent="0.2">
      <c r="A194" s="1" t="s">
        <v>12</v>
      </c>
      <c r="B194" s="4">
        <v>2966</v>
      </c>
      <c r="C194" s="5">
        <v>99.990000000000009</v>
      </c>
      <c r="D194" s="4">
        <v>1546</v>
      </c>
      <c r="E194" s="5">
        <v>100.00000000000001</v>
      </c>
      <c r="F194" s="4">
        <v>1415</v>
      </c>
      <c r="G194" s="5">
        <v>100.01</v>
      </c>
      <c r="H194" s="4">
        <v>4</v>
      </c>
    </row>
    <row r="195" spans="1:8" x14ac:dyDescent="0.2">
      <c r="A195" s="2" t="s">
        <v>75</v>
      </c>
      <c r="B195" s="4">
        <v>0</v>
      </c>
      <c r="C195" s="5">
        <v>0</v>
      </c>
      <c r="D195" s="4">
        <v>0</v>
      </c>
      <c r="E195" s="5">
        <v>0</v>
      </c>
      <c r="F195" s="4">
        <v>0</v>
      </c>
      <c r="G195" s="5">
        <v>0</v>
      </c>
      <c r="H195" s="4">
        <v>0</v>
      </c>
    </row>
    <row r="196" spans="1:8" x14ac:dyDescent="0.2">
      <c r="A196" s="2" t="s">
        <v>76</v>
      </c>
      <c r="B196" s="4">
        <v>184</v>
      </c>
      <c r="C196" s="5">
        <v>6.2</v>
      </c>
      <c r="D196" s="4">
        <v>41</v>
      </c>
      <c r="E196" s="5">
        <v>2.65</v>
      </c>
      <c r="F196" s="4">
        <v>143</v>
      </c>
      <c r="G196" s="5">
        <v>10.11</v>
      </c>
      <c r="H196" s="4">
        <v>0</v>
      </c>
    </row>
    <row r="197" spans="1:8" x14ac:dyDescent="0.2">
      <c r="A197" s="2" t="s">
        <v>77</v>
      </c>
      <c r="B197" s="4">
        <v>697</v>
      </c>
      <c r="C197" s="5">
        <v>23.5</v>
      </c>
      <c r="D197" s="4">
        <v>260</v>
      </c>
      <c r="E197" s="5">
        <v>16.82</v>
      </c>
      <c r="F197" s="4">
        <v>437</v>
      </c>
      <c r="G197" s="5">
        <v>30.88</v>
      </c>
      <c r="H197" s="4">
        <v>0</v>
      </c>
    </row>
    <row r="198" spans="1:8" x14ac:dyDescent="0.2">
      <c r="A198" s="2" t="s">
        <v>78</v>
      </c>
      <c r="B198" s="4">
        <v>1</v>
      </c>
      <c r="C198" s="5">
        <v>0.03</v>
      </c>
      <c r="D198" s="4">
        <v>0</v>
      </c>
      <c r="E198" s="5">
        <v>0</v>
      </c>
      <c r="F198" s="4">
        <v>1</v>
      </c>
      <c r="G198" s="5">
        <v>7.0000000000000007E-2</v>
      </c>
      <c r="H198" s="4">
        <v>0</v>
      </c>
    </row>
    <row r="199" spans="1:8" x14ac:dyDescent="0.2">
      <c r="A199" s="2" t="s">
        <v>79</v>
      </c>
      <c r="B199" s="4">
        <v>25</v>
      </c>
      <c r="C199" s="5">
        <v>0.84</v>
      </c>
      <c r="D199" s="4">
        <v>3</v>
      </c>
      <c r="E199" s="5">
        <v>0.19</v>
      </c>
      <c r="F199" s="4">
        <v>22</v>
      </c>
      <c r="G199" s="5">
        <v>1.55</v>
      </c>
      <c r="H199" s="4">
        <v>0</v>
      </c>
    </row>
    <row r="200" spans="1:8" x14ac:dyDescent="0.2">
      <c r="A200" s="2" t="s">
        <v>80</v>
      </c>
      <c r="B200" s="4">
        <v>21</v>
      </c>
      <c r="C200" s="5">
        <v>0.71</v>
      </c>
      <c r="D200" s="4">
        <v>7</v>
      </c>
      <c r="E200" s="5">
        <v>0.45</v>
      </c>
      <c r="F200" s="4">
        <v>14</v>
      </c>
      <c r="G200" s="5">
        <v>0.99</v>
      </c>
      <c r="H200" s="4">
        <v>0</v>
      </c>
    </row>
    <row r="201" spans="1:8" x14ac:dyDescent="0.2">
      <c r="A201" s="2" t="s">
        <v>81</v>
      </c>
      <c r="B201" s="4">
        <v>772</v>
      </c>
      <c r="C201" s="5">
        <v>26.03</v>
      </c>
      <c r="D201" s="4">
        <v>436</v>
      </c>
      <c r="E201" s="5">
        <v>28.2</v>
      </c>
      <c r="F201" s="4">
        <v>336</v>
      </c>
      <c r="G201" s="5">
        <v>23.75</v>
      </c>
      <c r="H201" s="4">
        <v>0</v>
      </c>
    </row>
    <row r="202" spans="1:8" x14ac:dyDescent="0.2">
      <c r="A202" s="2" t="s">
        <v>82</v>
      </c>
      <c r="B202" s="4">
        <v>5</v>
      </c>
      <c r="C202" s="5">
        <v>0.17</v>
      </c>
      <c r="D202" s="4">
        <v>0</v>
      </c>
      <c r="E202" s="5">
        <v>0</v>
      </c>
      <c r="F202" s="4">
        <v>5</v>
      </c>
      <c r="G202" s="5">
        <v>0.35</v>
      </c>
      <c r="H202" s="4">
        <v>0</v>
      </c>
    </row>
    <row r="203" spans="1:8" x14ac:dyDescent="0.2">
      <c r="A203" s="2" t="s">
        <v>83</v>
      </c>
      <c r="B203" s="4">
        <v>341</v>
      </c>
      <c r="C203" s="5">
        <v>11.5</v>
      </c>
      <c r="D203" s="4">
        <v>107</v>
      </c>
      <c r="E203" s="5">
        <v>6.92</v>
      </c>
      <c r="F203" s="4">
        <v>234</v>
      </c>
      <c r="G203" s="5">
        <v>16.54</v>
      </c>
      <c r="H203" s="4">
        <v>0</v>
      </c>
    </row>
    <row r="204" spans="1:8" x14ac:dyDescent="0.2">
      <c r="A204" s="2" t="s">
        <v>84</v>
      </c>
      <c r="B204" s="4">
        <v>119</v>
      </c>
      <c r="C204" s="5">
        <v>4.01</v>
      </c>
      <c r="D204" s="4">
        <v>60</v>
      </c>
      <c r="E204" s="5">
        <v>3.88</v>
      </c>
      <c r="F204" s="4">
        <v>59</v>
      </c>
      <c r="G204" s="5">
        <v>4.17</v>
      </c>
      <c r="H204" s="4">
        <v>0</v>
      </c>
    </row>
    <row r="205" spans="1:8" x14ac:dyDescent="0.2">
      <c r="A205" s="2" t="s">
        <v>85</v>
      </c>
      <c r="B205" s="4">
        <v>350</v>
      </c>
      <c r="C205" s="5">
        <v>11.8</v>
      </c>
      <c r="D205" s="4">
        <v>311</v>
      </c>
      <c r="E205" s="5">
        <v>20.12</v>
      </c>
      <c r="F205" s="4">
        <v>39</v>
      </c>
      <c r="G205" s="5">
        <v>2.76</v>
      </c>
      <c r="H205" s="4">
        <v>0</v>
      </c>
    </row>
    <row r="206" spans="1:8" x14ac:dyDescent="0.2">
      <c r="A206" s="2" t="s">
        <v>86</v>
      </c>
      <c r="B206" s="4">
        <v>214</v>
      </c>
      <c r="C206" s="5">
        <v>7.22</v>
      </c>
      <c r="D206" s="4">
        <v>175</v>
      </c>
      <c r="E206" s="5">
        <v>11.32</v>
      </c>
      <c r="F206" s="4">
        <v>39</v>
      </c>
      <c r="G206" s="5">
        <v>2.76</v>
      </c>
      <c r="H206" s="4">
        <v>0</v>
      </c>
    </row>
    <row r="207" spans="1:8" x14ac:dyDescent="0.2">
      <c r="A207" s="2" t="s">
        <v>87</v>
      </c>
      <c r="B207" s="4">
        <v>44</v>
      </c>
      <c r="C207" s="5">
        <v>1.48</v>
      </c>
      <c r="D207" s="4">
        <v>34</v>
      </c>
      <c r="E207" s="5">
        <v>2.2000000000000002</v>
      </c>
      <c r="F207" s="4">
        <v>9</v>
      </c>
      <c r="G207" s="5">
        <v>0.64</v>
      </c>
      <c r="H207" s="4">
        <v>0</v>
      </c>
    </row>
    <row r="208" spans="1:8" x14ac:dyDescent="0.2">
      <c r="A208" s="2" t="s">
        <v>88</v>
      </c>
      <c r="B208" s="4">
        <v>133</v>
      </c>
      <c r="C208" s="5">
        <v>4.4800000000000004</v>
      </c>
      <c r="D208" s="4">
        <v>93</v>
      </c>
      <c r="E208" s="5">
        <v>6.02</v>
      </c>
      <c r="F208" s="4">
        <v>36</v>
      </c>
      <c r="G208" s="5">
        <v>2.54</v>
      </c>
      <c r="H208" s="4">
        <v>4</v>
      </c>
    </row>
    <row r="209" spans="1:8" x14ac:dyDescent="0.2">
      <c r="A209" s="2" t="s">
        <v>89</v>
      </c>
      <c r="B209" s="4">
        <v>60</v>
      </c>
      <c r="C209" s="5">
        <v>2.02</v>
      </c>
      <c r="D209" s="4">
        <v>19</v>
      </c>
      <c r="E209" s="5">
        <v>1.23</v>
      </c>
      <c r="F209" s="4">
        <v>41</v>
      </c>
      <c r="G209" s="5">
        <v>2.9</v>
      </c>
      <c r="H209" s="4">
        <v>0</v>
      </c>
    </row>
    <row r="210" spans="1:8" x14ac:dyDescent="0.2">
      <c r="A210" s="1" t="s">
        <v>13</v>
      </c>
      <c r="B210" s="4">
        <v>4617</v>
      </c>
      <c r="C210" s="5">
        <v>100</v>
      </c>
      <c r="D210" s="4">
        <v>2815</v>
      </c>
      <c r="E210" s="5">
        <v>100.00999999999999</v>
      </c>
      <c r="F210" s="4">
        <v>1789</v>
      </c>
      <c r="G210" s="5">
        <v>100.02999999999999</v>
      </c>
      <c r="H210" s="4">
        <v>11</v>
      </c>
    </row>
    <row r="211" spans="1:8" x14ac:dyDescent="0.2">
      <c r="A211" s="2" t="s">
        <v>75</v>
      </c>
      <c r="B211" s="4">
        <v>0</v>
      </c>
      <c r="C211" s="5">
        <v>0</v>
      </c>
      <c r="D211" s="4">
        <v>0</v>
      </c>
      <c r="E211" s="5">
        <v>0</v>
      </c>
      <c r="F211" s="4">
        <v>0</v>
      </c>
      <c r="G211" s="5">
        <v>0</v>
      </c>
      <c r="H211" s="4">
        <v>0</v>
      </c>
    </row>
    <row r="212" spans="1:8" x14ac:dyDescent="0.2">
      <c r="A212" s="2" t="s">
        <v>76</v>
      </c>
      <c r="B212" s="4">
        <v>289</v>
      </c>
      <c r="C212" s="5">
        <v>6.26</v>
      </c>
      <c r="D212" s="4">
        <v>88</v>
      </c>
      <c r="E212" s="5">
        <v>3.13</v>
      </c>
      <c r="F212" s="4">
        <v>201</v>
      </c>
      <c r="G212" s="5">
        <v>11.24</v>
      </c>
      <c r="H212" s="4">
        <v>0</v>
      </c>
    </row>
    <row r="213" spans="1:8" x14ac:dyDescent="0.2">
      <c r="A213" s="2" t="s">
        <v>77</v>
      </c>
      <c r="B213" s="4">
        <v>1321</v>
      </c>
      <c r="C213" s="5">
        <v>28.61</v>
      </c>
      <c r="D213" s="4">
        <v>733</v>
      </c>
      <c r="E213" s="5">
        <v>26.04</v>
      </c>
      <c r="F213" s="4">
        <v>588</v>
      </c>
      <c r="G213" s="5">
        <v>32.869999999999997</v>
      </c>
      <c r="H213" s="4">
        <v>0</v>
      </c>
    </row>
    <row r="214" spans="1:8" x14ac:dyDescent="0.2">
      <c r="A214" s="2" t="s">
        <v>78</v>
      </c>
      <c r="B214" s="4">
        <v>1</v>
      </c>
      <c r="C214" s="5">
        <v>0.02</v>
      </c>
      <c r="D214" s="4">
        <v>0</v>
      </c>
      <c r="E214" s="5">
        <v>0</v>
      </c>
      <c r="F214" s="4">
        <v>1</v>
      </c>
      <c r="G214" s="5">
        <v>0.06</v>
      </c>
      <c r="H214" s="4">
        <v>0</v>
      </c>
    </row>
    <row r="215" spans="1:8" x14ac:dyDescent="0.2">
      <c r="A215" s="2" t="s">
        <v>79</v>
      </c>
      <c r="B215" s="4">
        <v>27</v>
      </c>
      <c r="C215" s="5">
        <v>0.57999999999999996</v>
      </c>
      <c r="D215" s="4">
        <v>2</v>
      </c>
      <c r="E215" s="5">
        <v>7.0000000000000007E-2</v>
      </c>
      <c r="F215" s="4">
        <v>25</v>
      </c>
      <c r="G215" s="5">
        <v>1.4</v>
      </c>
      <c r="H215" s="4">
        <v>0</v>
      </c>
    </row>
    <row r="216" spans="1:8" x14ac:dyDescent="0.2">
      <c r="A216" s="2" t="s">
        <v>80</v>
      </c>
      <c r="B216" s="4">
        <v>33</v>
      </c>
      <c r="C216" s="5">
        <v>0.71</v>
      </c>
      <c r="D216" s="4">
        <v>16</v>
      </c>
      <c r="E216" s="5">
        <v>0.56999999999999995</v>
      </c>
      <c r="F216" s="4">
        <v>17</v>
      </c>
      <c r="G216" s="5">
        <v>0.95</v>
      </c>
      <c r="H216" s="4">
        <v>0</v>
      </c>
    </row>
    <row r="217" spans="1:8" x14ac:dyDescent="0.2">
      <c r="A217" s="2" t="s">
        <v>81</v>
      </c>
      <c r="B217" s="4">
        <v>1042</v>
      </c>
      <c r="C217" s="5">
        <v>22.57</v>
      </c>
      <c r="D217" s="4">
        <v>695</v>
      </c>
      <c r="E217" s="5">
        <v>24.69</v>
      </c>
      <c r="F217" s="4">
        <v>347</v>
      </c>
      <c r="G217" s="5">
        <v>19.399999999999999</v>
      </c>
      <c r="H217" s="4">
        <v>0</v>
      </c>
    </row>
    <row r="218" spans="1:8" x14ac:dyDescent="0.2">
      <c r="A218" s="2" t="s">
        <v>82</v>
      </c>
      <c r="B218" s="4">
        <v>14</v>
      </c>
      <c r="C218" s="5">
        <v>0.3</v>
      </c>
      <c r="D218" s="4">
        <v>4</v>
      </c>
      <c r="E218" s="5">
        <v>0.14000000000000001</v>
      </c>
      <c r="F218" s="4">
        <v>10</v>
      </c>
      <c r="G218" s="5">
        <v>0.56000000000000005</v>
      </c>
      <c r="H218" s="4">
        <v>0</v>
      </c>
    </row>
    <row r="219" spans="1:8" x14ac:dyDescent="0.2">
      <c r="A219" s="2" t="s">
        <v>83</v>
      </c>
      <c r="B219" s="4">
        <v>550</v>
      </c>
      <c r="C219" s="5">
        <v>11.91</v>
      </c>
      <c r="D219" s="4">
        <v>231</v>
      </c>
      <c r="E219" s="5">
        <v>8.2100000000000009</v>
      </c>
      <c r="F219" s="4">
        <v>318</v>
      </c>
      <c r="G219" s="5">
        <v>17.78</v>
      </c>
      <c r="H219" s="4">
        <v>1</v>
      </c>
    </row>
    <row r="220" spans="1:8" x14ac:dyDescent="0.2">
      <c r="A220" s="2" t="s">
        <v>84</v>
      </c>
      <c r="B220" s="4">
        <v>94</v>
      </c>
      <c r="C220" s="5">
        <v>2.04</v>
      </c>
      <c r="D220" s="4">
        <v>49</v>
      </c>
      <c r="E220" s="5">
        <v>1.74</v>
      </c>
      <c r="F220" s="4">
        <v>45</v>
      </c>
      <c r="G220" s="5">
        <v>2.52</v>
      </c>
      <c r="H220" s="4">
        <v>0</v>
      </c>
    </row>
    <row r="221" spans="1:8" x14ac:dyDescent="0.2">
      <c r="A221" s="2" t="s">
        <v>85</v>
      </c>
      <c r="B221" s="4">
        <v>519</v>
      </c>
      <c r="C221" s="5">
        <v>11.24</v>
      </c>
      <c r="D221" s="4">
        <v>466</v>
      </c>
      <c r="E221" s="5">
        <v>16.55</v>
      </c>
      <c r="F221" s="4">
        <v>52</v>
      </c>
      <c r="G221" s="5">
        <v>2.91</v>
      </c>
      <c r="H221" s="4">
        <v>0</v>
      </c>
    </row>
    <row r="222" spans="1:8" x14ac:dyDescent="0.2">
      <c r="A222" s="2" t="s">
        <v>86</v>
      </c>
      <c r="B222" s="4">
        <v>341</v>
      </c>
      <c r="C222" s="5">
        <v>7.39</v>
      </c>
      <c r="D222" s="4">
        <v>296</v>
      </c>
      <c r="E222" s="5">
        <v>10.52</v>
      </c>
      <c r="F222" s="4">
        <v>45</v>
      </c>
      <c r="G222" s="5">
        <v>2.52</v>
      </c>
      <c r="H222" s="4">
        <v>0</v>
      </c>
    </row>
    <row r="223" spans="1:8" x14ac:dyDescent="0.2">
      <c r="A223" s="2" t="s">
        <v>87</v>
      </c>
      <c r="B223" s="4">
        <v>71</v>
      </c>
      <c r="C223" s="5">
        <v>1.54</v>
      </c>
      <c r="D223" s="4">
        <v>59</v>
      </c>
      <c r="E223" s="5">
        <v>2.1</v>
      </c>
      <c r="F223" s="4">
        <v>11</v>
      </c>
      <c r="G223" s="5">
        <v>0.61</v>
      </c>
      <c r="H223" s="4">
        <v>0</v>
      </c>
    </row>
    <row r="224" spans="1:8" x14ac:dyDescent="0.2">
      <c r="A224" s="2" t="s">
        <v>88</v>
      </c>
      <c r="B224" s="4">
        <v>239</v>
      </c>
      <c r="C224" s="5">
        <v>5.18</v>
      </c>
      <c r="D224" s="4">
        <v>139</v>
      </c>
      <c r="E224" s="5">
        <v>4.9400000000000004</v>
      </c>
      <c r="F224" s="4">
        <v>92</v>
      </c>
      <c r="G224" s="5">
        <v>5.14</v>
      </c>
      <c r="H224" s="4">
        <v>8</v>
      </c>
    </row>
    <row r="225" spans="1:8" x14ac:dyDescent="0.2">
      <c r="A225" s="2" t="s">
        <v>89</v>
      </c>
      <c r="B225" s="4">
        <v>76</v>
      </c>
      <c r="C225" s="5">
        <v>1.65</v>
      </c>
      <c r="D225" s="4">
        <v>37</v>
      </c>
      <c r="E225" s="5">
        <v>1.31</v>
      </c>
      <c r="F225" s="4">
        <v>37</v>
      </c>
      <c r="G225" s="5">
        <v>2.0699999999999998</v>
      </c>
      <c r="H225" s="4">
        <v>2</v>
      </c>
    </row>
    <row r="226" spans="1:8" x14ac:dyDescent="0.2">
      <c r="A226" s="1" t="s">
        <v>14</v>
      </c>
      <c r="B226" s="4">
        <v>2092</v>
      </c>
      <c r="C226" s="5">
        <v>99.999999999999986</v>
      </c>
      <c r="D226" s="4">
        <v>1225</v>
      </c>
      <c r="E226" s="5">
        <v>99.98</v>
      </c>
      <c r="F226" s="4">
        <v>865</v>
      </c>
      <c r="G226" s="5">
        <v>100</v>
      </c>
      <c r="H226" s="4">
        <v>1</v>
      </c>
    </row>
    <row r="227" spans="1:8" x14ac:dyDescent="0.2">
      <c r="A227" s="2" t="s">
        <v>75</v>
      </c>
      <c r="B227" s="4">
        <v>0</v>
      </c>
      <c r="C227" s="5">
        <v>0</v>
      </c>
      <c r="D227" s="4">
        <v>0</v>
      </c>
      <c r="E227" s="5">
        <v>0</v>
      </c>
      <c r="F227" s="4">
        <v>0</v>
      </c>
      <c r="G227" s="5">
        <v>0</v>
      </c>
      <c r="H227" s="4">
        <v>0</v>
      </c>
    </row>
    <row r="228" spans="1:8" x14ac:dyDescent="0.2">
      <c r="A228" s="2" t="s">
        <v>76</v>
      </c>
      <c r="B228" s="4">
        <v>208</v>
      </c>
      <c r="C228" s="5">
        <v>9.94</v>
      </c>
      <c r="D228" s="4">
        <v>43</v>
      </c>
      <c r="E228" s="5">
        <v>3.51</v>
      </c>
      <c r="F228" s="4">
        <v>165</v>
      </c>
      <c r="G228" s="5">
        <v>19.079999999999998</v>
      </c>
      <c r="H228" s="4">
        <v>0</v>
      </c>
    </row>
    <row r="229" spans="1:8" x14ac:dyDescent="0.2">
      <c r="A229" s="2" t="s">
        <v>77</v>
      </c>
      <c r="B229" s="4">
        <v>207</v>
      </c>
      <c r="C229" s="5">
        <v>9.89</v>
      </c>
      <c r="D229" s="4">
        <v>80</v>
      </c>
      <c r="E229" s="5">
        <v>6.53</v>
      </c>
      <c r="F229" s="4">
        <v>127</v>
      </c>
      <c r="G229" s="5">
        <v>14.68</v>
      </c>
      <c r="H229" s="4">
        <v>0</v>
      </c>
    </row>
    <row r="230" spans="1:8" x14ac:dyDescent="0.2">
      <c r="A230" s="2" t="s">
        <v>78</v>
      </c>
      <c r="B230" s="4">
        <v>1</v>
      </c>
      <c r="C230" s="5">
        <v>0.05</v>
      </c>
      <c r="D230" s="4">
        <v>0</v>
      </c>
      <c r="E230" s="5">
        <v>0</v>
      </c>
      <c r="F230" s="4">
        <v>1</v>
      </c>
      <c r="G230" s="5">
        <v>0.12</v>
      </c>
      <c r="H230" s="4">
        <v>0</v>
      </c>
    </row>
    <row r="231" spans="1:8" x14ac:dyDescent="0.2">
      <c r="A231" s="2" t="s">
        <v>79</v>
      </c>
      <c r="B231" s="4">
        <v>14</v>
      </c>
      <c r="C231" s="5">
        <v>0.67</v>
      </c>
      <c r="D231" s="4">
        <v>1</v>
      </c>
      <c r="E231" s="5">
        <v>0.08</v>
      </c>
      <c r="F231" s="4">
        <v>13</v>
      </c>
      <c r="G231" s="5">
        <v>1.5</v>
      </c>
      <c r="H231" s="4">
        <v>0</v>
      </c>
    </row>
    <row r="232" spans="1:8" x14ac:dyDescent="0.2">
      <c r="A232" s="2" t="s">
        <v>80</v>
      </c>
      <c r="B232" s="4">
        <v>32</v>
      </c>
      <c r="C232" s="5">
        <v>1.53</v>
      </c>
      <c r="D232" s="4">
        <v>19</v>
      </c>
      <c r="E232" s="5">
        <v>1.55</v>
      </c>
      <c r="F232" s="4">
        <v>13</v>
      </c>
      <c r="G232" s="5">
        <v>1.5</v>
      </c>
      <c r="H232" s="4">
        <v>0</v>
      </c>
    </row>
    <row r="233" spans="1:8" x14ac:dyDescent="0.2">
      <c r="A233" s="2" t="s">
        <v>81</v>
      </c>
      <c r="B233" s="4">
        <v>502</v>
      </c>
      <c r="C233" s="5">
        <v>24</v>
      </c>
      <c r="D233" s="4">
        <v>289</v>
      </c>
      <c r="E233" s="5">
        <v>23.59</v>
      </c>
      <c r="F233" s="4">
        <v>213</v>
      </c>
      <c r="G233" s="5">
        <v>24.62</v>
      </c>
      <c r="H233" s="4">
        <v>0</v>
      </c>
    </row>
    <row r="234" spans="1:8" x14ac:dyDescent="0.2">
      <c r="A234" s="2" t="s">
        <v>82</v>
      </c>
      <c r="B234" s="4">
        <v>9</v>
      </c>
      <c r="C234" s="5">
        <v>0.43</v>
      </c>
      <c r="D234" s="4">
        <v>2</v>
      </c>
      <c r="E234" s="5">
        <v>0.16</v>
      </c>
      <c r="F234" s="4">
        <v>7</v>
      </c>
      <c r="G234" s="5">
        <v>0.81</v>
      </c>
      <c r="H234" s="4">
        <v>0</v>
      </c>
    </row>
    <row r="235" spans="1:8" x14ac:dyDescent="0.2">
      <c r="A235" s="2" t="s">
        <v>83</v>
      </c>
      <c r="B235" s="4">
        <v>302</v>
      </c>
      <c r="C235" s="5">
        <v>14.44</v>
      </c>
      <c r="D235" s="4">
        <v>150</v>
      </c>
      <c r="E235" s="5">
        <v>12.24</v>
      </c>
      <c r="F235" s="4">
        <v>152</v>
      </c>
      <c r="G235" s="5">
        <v>17.57</v>
      </c>
      <c r="H235" s="4">
        <v>0</v>
      </c>
    </row>
    <row r="236" spans="1:8" x14ac:dyDescent="0.2">
      <c r="A236" s="2" t="s">
        <v>84</v>
      </c>
      <c r="B236" s="4">
        <v>78</v>
      </c>
      <c r="C236" s="5">
        <v>3.73</v>
      </c>
      <c r="D236" s="4">
        <v>47</v>
      </c>
      <c r="E236" s="5">
        <v>3.84</v>
      </c>
      <c r="F236" s="4">
        <v>31</v>
      </c>
      <c r="G236" s="5">
        <v>3.58</v>
      </c>
      <c r="H236" s="4">
        <v>0</v>
      </c>
    </row>
    <row r="237" spans="1:8" x14ac:dyDescent="0.2">
      <c r="A237" s="2" t="s">
        <v>85</v>
      </c>
      <c r="B237" s="4">
        <v>287</v>
      </c>
      <c r="C237" s="5">
        <v>13.72</v>
      </c>
      <c r="D237" s="4">
        <v>261</v>
      </c>
      <c r="E237" s="5">
        <v>21.31</v>
      </c>
      <c r="F237" s="4">
        <v>26</v>
      </c>
      <c r="G237" s="5">
        <v>3.01</v>
      </c>
      <c r="H237" s="4">
        <v>0</v>
      </c>
    </row>
    <row r="238" spans="1:8" x14ac:dyDescent="0.2">
      <c r="A238" s="2" t="s">
        <v>86</v>
      </c>
      <c r="B238" s="4">
        <v>209</v>
      </c>
      <c r="C238" s="5">
        <v>9.99</v>
      </c>
      <c r="D238" s="4">
        <v>174</v>
      </c>
      <c r="E238" s="5">
        <v>14.2</v>
      </c>
      <c r="F238" s="4">
        <v>35</v>
      </c>
      <c r="G238" s="5">
        <v>4.05</v>
      </c>
      <c r="H238" s="4">
        <v>0</v>
      </c>
    </row>
    <row r="239" spans="1:8" x14ac:dyDescent="0.2">
      <c r="A239" s="2" t="s">
        <v>87</v>
      </c>
      <c r="B239" s="4">
        <v>48</v>
      </c>
      <c r="C239" s="5">
        <v>2.29</v>
      </c>
      <c r="D239" s="4">
        <v>39</v>
      </c>
      <c r="E239" s="5">
        <v>3.18</v>
      </c>
      <c r="F239" s="4">
        <v>8</v>
      </c>
      <c r="G239" s="5">
        <v>0.92</v>
      </c>
      <c r="H239" s="4">
        <v>0</v>
      </c>
    </row>
    <row r="240" spans="1:8" x14ac:dyDescent="0.2">
      <c r="A240" s="2" t="s">
        <v>88</v>
      </c>
      <c r="B240" s="4">
        <v>137</v>
      </c>
      <c r="C240" s="5">
        <v>6.55</v>
      </c>
      <c r="D240" s="4">
        <v>100</v>
      </c>
      <c r="E240" s="5">
        <v>8.16</v>
      </c>
      <c r="F240" s="4">
        <v>37</v>
      </c>
      <c r="G240" s="5">
        <v>4.28</v>
      </c>
      <c r="H240" s="4">
        <v>0</v>
      </c>
    </row>
    <row r="241" spans="1:8" x14ac:dyDescent="0.2">
      <c r="A241" s="2" t="s">
        <v>89</v>
      </c>
      <c r="B241" s="4">
        <v>58</v>
      </c>
      <c r="C241" s="5">
        <v>2.77</v>
      </c>
      <c r="D241" s="4">
        <v>20</v>
      </c>
      <c r="E241" s="5">
        <v>1.63</v>
      </c>
      <c r="F241" s="4">
        <v>37</v>
      </c>
      <c r="G241" s="5">
        <v>4.28</v>
      </c>
      <c r="H241" s="4">
        <v>1</v>
      </c>
    </row>
    <row r="242" spans="1:8" x14ac:dyDescent="0.2">
      <c r="A242" s="1" t="s">
        <v>15</v>
      </c>
      <c r="B242" s="4">
        <v>3173</v>
      </c>
      <c r="C242" s="5">
        <v>99.999999999999986</v>
      </c>
      <c r="D242" s="4">
        <v>1664</v>
      </c>
      <c r="E242" s="5">
        <v>100</v>
      </c>
      <c r="F242" s="4">
        <v>1496</v>
      </c>
      <c r="G242" s="5">
        <v>100.00999999999998</v>
      </c>
      <c r="H242" s="4">
        <v>11</v>
      </c>
    </row>
    <row r="243" spans="1:8" x14ac:dyDescent="0.2">
      <c r="A243" s="2" t="s">
        <v>75</v>
      </c>
      <c r="B243" s="4">
        <v>0</v>
      </c>
      <c r="C243" s="5">
        <v>0</v>
      </c>
      <c r="D243" s="4">
        <v>0</v>
      </c>
      <c r="E243" s="5">
        <v>0</v>
      </c>
      <c r="F243" s="4">
        <v>0</v>
      </c>
      <c r="G243" s="5">
        <v>0</v>
      </c>
      <c r="H243" s="4">
        <v>0</v>
      </c>
    </row>
    <row r="244" spans="1:8" x14ac:dyDescent="0.2">
      <c r="A244" s="2" t="s">
        <v>76</v>
      </c>
      <c r="B244" s="4">
        <v>306</v>
      </c>
      <c r="C244" s="5">
        <v>9.64</v>
      </c>
      <c r="D244" s="4">
        <v>58</v>
      </c>
      <c r="E244" s="5">
        <v>3.49</v>
      </c>
      <c r="F244" s="4">
        <v>248</v>
      </c>
      <c r="G244" s="5">
        <v>16.579999999999998</v>
      </c>
      <c r="H244" s="4">
        <v>0</v>
      </c>
    </row>
    <row r="245" spans="1:8" x14ac:dyDescent="0.2">
      <c r="A245" s="2" t="s">
        <v>77</v>
      </c>
      <c r="B245" s="4">
        <v>538</v>
      </c>
      <c r="C245" s="5">
        <v>16.96</v>
      </c>
      <c r="D245" s="4">
        <v>189</v>
      </c>
      <c r="E245" s="5">
        <v>11.36</v>
      </c>
      <c r="F245" s="4">
        <v>349</v>
      </c>
      <c r="G245" s="5">
        <v>23.33</v>
      </c>
      <c r="H245" s="4">
        <v>0</v>
      </c>
    </row>
    <row r="246" spans="1:8" x14ac:dyDescent="0.2">
      <c r="A246" s="2" t="s">
        <v>78</v>
      </c>
      <c r="B246" s="4">
        <v>1</v>
      </c>
      <c r="C246" s="5">
        <v>0.03</v>
      </c>
      <c r="D246" s="4">
        <v>0</v>
      </c>
      <c r="E246" s="5">
        <v>0</v>
      </c>
      <c r="F246" s="4">
        <v>1</v>
      </c>
      <c r="G246" s="5">
        <v>7.0000000000000007E-2</v>
      </c>
      <c r="H246" s="4">
        <v>0</v>
      </c>
    </row>
    <row r="247" spans="1:8" x14ac:dyDescent="0.2">
      <c r="A247" s="2" t="s">
        <v>79</v>
      </c>
      <c r="B247" s="4">
        <v>23</v>
      </c>
      <c r="C247" s="5">
        <v>0.72</v>
      </c>
      <c r="D247" s="4">
        <v>1</v>
      </c>
      <c r="E247" s="5">
        <v>0.06</v>
      </c>
      <c r="F247" s="4">
        <v>22</v>
      </c>
      <c r="G247" s="5">
        <v>1.47</v>
      </c>
      <c r="H247" s="4">
        <v>0</v>
      </c>
    </row>
    <row r="248" spans="1:8" x14ac:dyDescent="0.2">
      <c r="A248" s="2" t="s">
        <v>80</v>
      </c>
      <c r="B248" s="4">
        <v>52</v>
      </c>
      <c r="C248" s="5">
        <v>1.64</v>
      </c>
      <c r="D248" s="4">
        <v>38</v>
      </c>
      <c r="E248" s="5">
        <v>2.2799999999999998</v>
      </c>
      <c r="F248" s="4">
        <v>14</v>
      </c>
      <c r="G248" s="5">
        <v>0.94</v>
      </c>
      <c r="H248" s="4">
        <v>0</v>
      </c>
    </row>
    <row r="249" spans="1:8" x14ac:dyDescent="0.2">
      <c r="A249" s="2" t="s">
        <v>81</v>
      </c>
      <c r="B249" s="4">
        <v>578</v>
      </c>
      <c r="C249" s="5">
        <v>18.22</v>
      </c>
      <c r="D249" s="4">
        <v>312</v>
      </c>
      <c r="E249" s="5">
        <v>18.75</v>
      </c>
      <c r="F249" s="4">
        <v>266</v>
      </c>
      <c r="G249" s="5">
        <v>17.78</v>
      </c>
      <c r="H249" s="4">
        <v>0</v>
      </c>
    </row>
    <row r="250" spans="1:8" x14ac:dyDescent="0.2">
      <c r="A250" s="2" t="s">
        <v>82</v>
      </c>
      <c r="B250" s="4">
        <v>11</v>
      </c>
      <c r="C250" s="5">
        <v>0.35</v>
      </c>
      <c r="D250" s="4">
        <v>1</v>
      </c>
      <c r="E250" s="5">
        <v>0.06</v>
      </c>
      <c r="F250" s="4">
        <v>10</v>
      </c>
      <c r="G250" s="5">
        <v>0.67</v>
      </c>
      <c r="H250" s="4">
        <v>0</v>
      </c>
    </row>
    <row r="251" spans="1:8" x14ac:dyDescent="0.2">
      <c r="A251" s="2" t="s">
        <v>83</v>
      </c>
      <c r="B251" s="4">
        <v>475</v>
      </c>
      <c r="C251" s="5">
        <v>14.97</v>
      </c>
      <c r="D251" s="4">
        <v>197</v>
      </c>
      <c r="E251" s="5">
        <v>11.84</v>
      </c>
      <c r="F251" s="4">
        <v>278</v>
      </c>
      <c r="G251" s="5">
        <v>18.579999999999998</v>
      </c>
      <c r="H251" s="4">
        <v>0</v>
      </c>
    </row>
    <row r="252" spans="1:8" x14ac:dyDescent="0.2">
      <c r="A252" s="2" t="s">
        <v>84</v>
      </c>
      <c r="B252" s="4">
        <v>147</v>
      </c>
      <c r="C252" s="5">
        <v>4.63</v>
      </c>
      <c r="D252" s="4">
        <v>65</v>
      </c>
      <c r="E252" s="5">
        <v>3.91</v>
      </c>
      <c r="F252" s="4">
        <v>80</v>
      </c>
      <c r="G252" s="5">
        <v>5.35</v>
      </c>
      <c r="H252" s="4">
        <v>1</v>
      </c>
    </row>
    <row r="253" spans="1:8" x14ac:dyDescent="0.2">
      <c r="A253" s="2" t="s">
        <v>85</v>
      </c>
      <c r="B253" s="4">
        <v>382</v>
      </c>
      <c r="C253" s="5">
        <v>12.04</v>
      </c>
      <c r="D253" s="4">
        <v>341</v>
      </c>
      <c r="E253" s="5">
        <v>20.49</v>
      </c>
      <c r="F253" s="4">
        <v>41</v>
      </c>
      <c r="G253" s="5">
        <v>2.74</v>
      </c>
      <c r="H253" s="4">
        <v>0</v>
      </c>
    </row>
    <row r="254" spans="1:8" x14ac:dyDescent="0.2">
      <c r="A254" s="2" t="s">
        <v>86</v>
      </c>
      <c r="B254" s="4">
        <v>327</v>
      </c>
      <c r="C254" s="5">
        <v>10.31</v>
      </c>
      <c r="D254" s="4">
        <v>255</v>
      </c>
      <c r="E254" s="5">
        <v>15.32</v>
      </c>
      <c r="F254" s="4">
        <v>72</v>
      </c>
      <c r="G254" s="5">
        <v>4.8099999999999996</v>
      </c>
      <c r="H254" s="4">
        <v>0</v>
      </c>
    </row>
    <row r="255" spans="1:8" x14ac:dyDescent="0.2">
      <c r="A255" s="2" t="s">
        <v>87</v>
      </c>
      <c r="B255" s="4">
        <v>81</v>
      </c>
      <c r="C255" s="5">
        <v>2.5499999999999998</v>
      </c>
      <c r="D255" s="4">
        <v>60</v>
      </c>
      <c r="E255" s="5">
        <v>3.61</v>
      </c>
      <c r="F255" s="4">
        <v>19</v>
      </c>
      <c r="G255" s="5">
        <v>1.27</v>
      </c>
      <c r="H255" s="4">
        <v>1</v>
      </c>
    </row>
    <row r="256" spans="1:8" x14ac:dyDescent="0.2">
      <c r="A256" s="2" t="s">
        <v>88</v>
      </c>
      <c r="B256" s="4">
        <v>188</v>
      </c>
      <c r="C256" s="5">
        <v>5.92</v>
      </c>
      <c r="D256" s="4">
        <v>127</v>
      </c>
      <c r="E256" s="5">
        <v>7.63</v>
      </c>
      <c r="F256" s="4">
        <v>52</v>
      </c>
      <c r="G256" s="5">
        <v>3.48</v>
      </c>
      <c r="H256" s="4">
        <v>9</v>
      </c>
    </row>
    <row r="257" spans="1:8" x14ac:dyDescent="0.2">
      <c r="A257" s="2" t="s">
        <v>89</v>
      </c>
      <c r="B257" s="4">
        <v>64</v>
      </c>
      <c r="C257" s="5">
        <v>2.02</v>
      </c>
      <c r="D257" s="4">
        <v>20</v>
      </c>
      <c r="E257" s="5">
        <v>1.2</v>
      </c>
      <c r="F257" s="4">
        <v>44</v>
      </c>
      <c r="G257" s="5">
        <v>2.94</v>
      </c>
      <c r="H257" s="4">
        <v>0</v>
      </c>
    </row>
    <row r="258" spans="1:8" x14ac:dyDescent="0.2">
      <c r="A258" s="1" t="s">
        <v>16</v>
      </c>
      <c r="B258" s="4">
        <v>3002</v>
      </c>
      <c r="C258" s="5">
        <v>100.02</v>
      </c>
      <c r="D258" s="4">
        <v>1504</v>
      </c>
      <c r="E258" s="5">
        <v>100.01</v>
      </c>
      <c r="F258" s="4">
        <v>1495</v>
      </c>
      <c r="G258" s="5">
        <v>99.97999999999999</v>
      </c>
      <c r="H258" s="4">
        <v>2</v>
      </c>
    </row>
    <row r="259" spans="1:8" x14ac:dyDescent="0.2">
      <c r="A259" s="2" t="s">
        <v>75</v>
      </c>
      <c r="B259" s="4">
        <v>0</v>
      </c>
      <c r="C259" s="5">
        <v>0</v>
      </c>
      <c r="D259" s="4">
        <v>0</v>
      </c>
      <c r="E259" s="5">
        <v>0</v>
      </c>
      <c r="F259" s="4">
        <v>0</v>
      </c>
      <c r="G259" s="5">
        <v>0</v>
      </c>
      <c r="H259" s="4">
        <v>0</v>
      </c>
    </row>
    <row r="260" spans="1:8" x14ac:dyDescent="0.2">
      <c r="A260" s="2" t="s">
        <v>76</v>
      </c>
      <c r="B260" s="4">
        <v>165</v>
      </c>
      <c r="C260" s="5">
        <v>5.5</v>
      </c>
      <c r="D260" s="4">
        <v>41</v>
      </c>
      <c r="E260" s="5">
        <v>2.73</v>
      </c>
      <c r="F260" s="4">
        <v>124</v>
      </c>
      <c r="G260" s="5">
        <v>8.2899999999999991</v>
      </c>
      <c r="H260" s="4">
        <v>0</v>
      </c>
    </row>
    <row r="261" spans="1:8" x14ac:dyDescent="0.2">
      <c r="A261" s="2" t="s">
        <v>77</v>
      </c>
      <c r="B261" s="4">
        <v>189</v>
      </c>
      <c r="C261" s="5">
        <v>6.3</v>
      </c>
      <c r="D261" s="4">
        <v>70</v>
      </c>
      <c r="E261" s="5">
        <v>4.6500000000000004</v>
      </c>
      <c r="F261" s="4">
        <v>119</v>
      </c>
      <c r="G261" s="5">
        <v>7.96</v>
      </c>
      <c r="H261" s="4">
        <v>0</v>
      </c>
    </row>
    <row r="262" spans="1:8" x14ac:dyDescent="0.2">
      <c r="A262" s="2" t="s">
        <v>78</v>
      </c>
      <c r="B262" s="4">
        <v>0</v>
      </c>
      <c r="C262" s="5">
        <v>0</v>
      </c>
      <c r="D262" s="4">
        <v>0</v>
      </c>
      <c r="E262" s="5">
        <v>0</v>
      </c>
      <c r="F262" s="4">
        <v>0</v>
      </c>
      <c r="G262" s="5">
        <v>0</v>
      </c>
      <c r="H262" s="4">
        <v>0</v>
      </c>
    </row>
    <row r="263" spans="1:8" x14ac:dyDescent="0.2">
      <c r="A263" s="2" t="s">
        <v>79</v>
      </c>
      <c r="B263" s="4">
        <v>33</v>
      </c>
      <c r="C263" s="5">
        <v>1.1000000000000001</v>
      </c>
      <c r="D263" s="4">
        <v>3</v>
      </c>
      <c r="E263" s="5">
        <v>0.2</v>
      </c>
      <c r="F263" s="4">
        <v>30</v>
      </c>
      <c r="G263" s="5">
        <v>2.0099999999999998</v>
      </c>
      <c r="H263" s="4">
        <v>0</v>
      </c>
    </row>
    <row r="264" spans="1:8" x14ac:dyDescent="0.2">
      <c r="A264" s="2" t="s">
        <v>80</v>
      </c>
      <c r="B264" s="4">
        <v>11</v>
      </c>
      <c r="C264" s="5">
        <v>0.37</v>
      </c>
      <c r="D264" s="4">
        <v>4</v>
      </c>
      <c r="E264" s="5">
        <v>0.27</v>
      </c>
      <c r="F264" s="4">
        <v>7</v>
      </c>
      <c r="G264" s="5">
        <v>0.47</v>
      </c>
      <c r="H264" s="4">
        <v>0</v>
      </c>
    </row>
    <row r="265" spans="1:8" x14ac:dyDescent="0.2">
      <c r="A265" s="2" t="s">
        <v>81</v>
      </c>
      <c r="B265" s="4">
        <v>741</v>
      </c>
      <c r="C265" s="5">
        <v>24.68</v>
      </c>
      <c r="D265" s="4">
        <v>317</v>
      </c>
      <c r="E265" s="5">
        <v>21.08</v>
      </c>
      <c r="F265" s="4">
        <v>424</v>
      </c>
      <c r="G265" s="5">
        <v>28.36</v>
      </c>
      <c r="H265" s="4">
        <v>0</v>
      </c>
    </row>
    <row r="266" spans="1:8" x14ac:dyDescent="0.2">
      <c r="A266" s="2" t="s">
        <v>82</v>
      </c>
      <c r="B266" s="4">
        <v>19</v>
      </c>
      <c r="C266" s="5">
        <v>0.63</v>
      </c>
      <c r="D266" s="4">
        <v>1</v>
      </c>
      <c r="E266" s="5">
        <v>7.0000000000000007E-2</v>
      </c>
      <c r="F266" s="4">
        <v>18</v>
      </c>
      <c r="G266" s="5">
        <v>1.2</v>
      </c>
      <c r="H266" s="4">
        <v>0</v>
      </c>
    </row>
    <row r="267" spans="1:8" x14ac:dyDescent="0.2">
      <c r="A267" s="2" t="s">
        <v>83</v>
      </c>
      <c r="B267" s="4">
        <v>561</v>
      </c>
      <c r="C267" s="5">
        <v>18.690000000000001</v>
      </c>
      <c r="D267" s="4">
        <v>183</v>
      </c>
      <c r="E267" s="5">
        <v>12.17</v>
      </c>
      <c r="F267" s="4">
        <v>378</v>
      </c>
      <c r="G267" s="5">
        <v>25.28</v>
      </c>
      <c r="H267" s="4">
        <v>0</v>
      </c>
    </row>
    <row r="268" spans="1:8" x14ac:dyDescent="0.2">
      <c r="A268" s="2" t="s">
        <v>84</v>
      </c>
      <c r="B268" s="4">
        <v>204</v>
      </c>
      <c r="C268" s="5">
        <v>6.8</v>
      </c>
      <c r="D268" s="4">
        <v>105</v>
      </c>
      <c r="E268" s="5">
        <v>6.98</v>
      </c>
      <c r="F268" s="4">
        <v>99</v>
      </c>
      <c r="G268" s="5">
        <v>6.62</v>
      </c>
      <c r="H268" s="4">
        <v>0</v>
      </c>
    </row>
    <row r="269" spans="1:8" x14ac:dyDescent="0.2">
      <c r="A269" s="2" t="s">
        <v>85</v>
      </c>
      <c r="B269" s="4">
        <v>417</v>
      </c>
      <c r="C269" s="5">
        <v>13.89</v>
      </c>
      <c r="D269" s="4">
        <v>341</v>
      </c>
      <c r="E269" s="5">
        <v>22.67</v>
      </c>
      <c r="F269" s="4">
        <v>76</v>
      </c>
      <c r="G269" s="5">
        <v>5.08</v>
      </c>
      <c r="H269" s="4">
        <v>0</v>
      </c>
    </row>
    <row r="270" spans="1:8" x14ac:dyDescent="0.2">
      <c r="A270" s="2" t="s">
        <v>86</v>
      </c>
      <c r="B270" s="4">
        <v>286</v>
      </c>
      <c r="C270" s="5">
        <v>9.5299999999999994</v>
      </c>
      <c r="D270" s="4">
        <v>215</v>
      </c>
      <c r="E270" s="5">
        <v>14.3</v>
      </c>
      <c r="F270" s="4">
        <v>71</v>
      </c>
      <c r="G270" s="5">
        <v>4.75</v>
      </c>
      <c r="H270" s="4">
        <v>0</v>
      </c>
    </row>
    <row r="271" spans="1:8" x14ac:dyDescent="0.2">
      <c r="A271" s="2" t="s">
        <v>87</v>
      </c>
      <c r="B271" s="4">
        <v>109</v>
      </c>
      <c r="C271" s="5">
        <v>3.63</v>
      </c>
      <c r="D271" s="4">
        <v>67</v>
      </c>
      <c r="E271" s="5">
        <v>4.45</v>
      </c>
      <c r="F271" s="4">
        <v>41</v>
      </c>
      <c r="G271" s="5">
        <v>2.74</v>
      </c>
      <c r="H271" s="4">
        <v>0</v>
      </c>
    </row>
    <row r="272" spans="1:8" x14ac:dyDescent="0.2">
      <c r="A272" s="2" t="s">
        <v>88</v>
      </c>
      <c r="B272" s="4">
        <v>213</v>
      </c>
      <c r="C272" s="5">
        <v>7.1</v>
      </c>
      <c r="D272" s="4">
        <v>145</v>
      </c>
      <c r="E272" s="5">
        <v>9.64</v>
      </c>
      <c r="F272" s="4">
        <v>67</v>
      </c>
      <c r="G272" s="5">
        <v>4.4800000000000004</v>
      </c>
      <c r="H272" s="4">
        <v>1</v>
      </c>
    </row>
    <row r="273" spans="1:8" x14ac:dyDescent="0.2">
      <c r="A273" s="2" t="s">
        <v>89</v>
      </c>
      <c r="B273" s="4">
        <v>54</v>
      </c>
      <c r="C273" s="5">
        <v>1.8</v>
      </c>
      <c r="D273" s="4">
        <v>12</v>
      </c>
      <c r="E273" s="5">
        <v>0.8</v>
      </c>
      <c r="F273" s="4">
        <v>41</v>
      </c>
      <c r="G273" s="5">
        <v>2.74</v>
      </c>
      <c r="H273" s="4">
        <v>1</v>
      </c>
    </row>
    <row r="274" spans="1:8" x14ac:dyDescent="0.2">
      <c r="A274" s="1" t="s">
        <v>17</v>
      </c>
      <c r="B274" s="4">
        <v>3030</v>
      </c>
      <c r="C274" s="5">
        <v>100.03</v>
      </c>
      <c r="D274" s="4">
        <v>1685</v>
      </c>
      <c r="E274" s="5">
        <v>99.98</v>
      </c>
      <c r="F274" s="4">
        <v>1337</v>
      </c>
      <c r="G274" s="5">
        <v>100.00000000000001</v>
      </c>
      <c r="H274" s="4">
        <v>7</v>
      </c>
    </row>
    <row r="275" spans="1:8" x14ac:dyDescent="0.2">
      <c r="A275" s="2" t="s">
        <v>75</v>
      </c>
      <c r="B275" s="4">
        <v>0</v>
      </c>
      <c r="C275" s="5">
        <v>0</v>
      </c>
      <c r="D275" s="4">
        <v>0</v>
      </c>
      <c r="E275" s="5">
        <v>0</v>
      </c>
      <c r="F275" s="4">
        <v>0</v>
      </c>
      <c r="G275" s="5">
        <v>0</v>
      </c>
      <c r="H275" s="4">
        <v>0</v>
      </c>
    </row>
    <row r="276" spans="1:8" x14ac:dyDescent="0.2">
      <c r="A276" s="2" t="s">
        <v>76</v>
      </c>
      <c r="B276" s="4">
        <v>325</v>
      </c>
      <c r="C276" s="5">
        <v>10.73</v>
      </c>
      <c r="D276" s="4">
        <v>71</v>
      </c>
      <c r="E276" s="5">
        <v>4.21</v>
      </c>
      <c r="F276" s="4">
        <v>254</v>
      </c>
      <c r="G276" s="5">
        <v>19</v>
      </c>
      <c r="H276" s="4">
        <v>0</v>
      </c>
    </row>
    <row r="277" spans="1:8" x14ac:dyDescent="0.2">
      <c r="A277" s="2" t="s">
        <v>77</v>
      </c>
      <c r="B277" s="4">
        <v>149</v>
      </c>
      <c r="C277" s="5">
        <v>4.92</v>
      </c>
      <c r="D277" s="4">
        <v>59</v>
      </c>
      <c r="E277" s="5">
        <v>3.5</v>
      </c>
      <c r="F277" s="4">
        <v>90</v>
      </c>
      <c r="G277" s="5">
        <v>6.73</v>
      </c>
      <c r="H277" s="4">
        <v>0</v>
      </c>
    </row>
    <row r="278" spans="1:8" x14ac:dyDescent="0.2">
      <c r="A278" s="2" t="s">
        <v>78</v>
      </c>
      <c r="B278" s="4">
        <v>0</v>
      </c>
      <c r="C278" s="5">
        <v>0</v>
      </c>
      <c r="D278" s="4">
        <v>0</v>
      </c>
      <c r="E278" s="5">
        <v>0</v>
      </c>
      <c r="F278" s="4">
        <v>0</v>
      </c>
      <c r="G278" s="5">
        <v>0</v>
      </c>
      <c r="H278" s="4">
        <v>0</v>
      </c>
    </row>
    <row r="279" spans="1:8" x14ac:dyDescent="0.2">
      <c r="A279" s="2" t="s">
        <v>79</v>
      </c>
      <c r="B279" s="4">
        <v>25</v>
      </c>
      <c r="C279" s="5">
        <v>0.83</v>
      </c>
      <c r="D279" s="4">
        <v>1</v>
      </c>
      <c r="E279" s="5">
        <v>0.06</v>
      </c>
      <c r="F279" s="4">
        <v>24</v>
      </c>
      <c r="G279" s="5">
        <v>1.8</v>
      </c>
      <c r="H279" s="4">
        <v>0</v>
      </c>
    </row>
    <row r="280" spans="1:8" x14ac:dyDescent="0.2">
      <c r="A280" s="2" t="s">
        <v>80</v>
      </c>
      <c r="B280" s="4">
        <v>29</v>
      </c>
      <c r="C280" s="5">
        <v>0.96</v>
      </c>
      <c r="D280" s="4">
        <v>17</v>
      </c>
      <c r="E280" s="5">
        <v>1.01</v>
      </c>
      <c r="F280" s="4">
        <v>12</v>
      </c>
      <c r="G280" s="5">
        <v>0.9</v>
      </c>
      <c r="H280" s="4">
        <v>0</v>
      </c>
    </row>
    <row r="281" spans="1:8" x14ac:dyDescent="0.2">
      <c r="A281" s="2" t="s">
        <v>81</v>
      </c>
      <c r="B281" s="4">
        <v>607</v>
      </c>
      <c r="C281" s="5">
        <v>20.03</v>
      </c>
      <c r="D281" s="4">
        <v>337</v>
      </c>
      <c r="E281" s="5">
        <v>20</v>
      </c>
      <c r="F281" s="4">
        <v>270</v>
      </c>
      <c r="G281" s="5">
        <v>20.190000000000001</v>
      </c>
      <c r="H281" s="4">
        <v>0</v>
      </c>
    </row>
    <row r="282" spans="1:8" x14ac:dyDescent="0.2">
      <c r="A282" s="2" t="s">
        <v>82</v>
      </c>
      <c r="B282" s="4">
        <v>15</v>
      </c>
      <c r="C282" s="5">
        <v>0.5</v>
      </c>
      <c r="D282" s="4">
        <v>2</v>
      </c>
      <c r="E282" s="5">
        <v>0.12</v>
      </c>
      <c r="F282" s="4">
        <v>13</v>
      </c>
      <c r="G282" s="5">
        <v>0.97</v>
      </c>
      <c r="H282" s="4">
        <v>0</v>
      </c>
    </row>
    <row r="283" spans="1:8" x14ac:dyDescent="0.2">
      <c r="A283" s="2" t="s">
        <v>83</v>
      </c>
      <c r="B283" s="4">
        <v>585</v>
      </c>
      <c r="C283" s="5">
        <v>19.309999999999999</v>
      </c>
      <c r="D283" s="4">
        <v>225</v>
      </c>
      <c r="E283" s="5">
        <v>13.35</v>
      </c>
      <c r="F283" s="4">
        <v>359</v>
      </c>
      <c r="G283" s="5">
        <v>26.85</v>
      </c>
      <c r="H283" s="4">
        <v>1</v>
      </c>
    </row>
    <row r="284" spans="1:8" x14ac:dyDescent="0.2">
      <c r="A284" s="2" t="s">
        <v>84</v>
      </c>
      <c r="B284" s="4">
        <v>133</v>
      </c>
      <c r="C284" s="5">
        <v>4.3899999999999997</v>
      </c>
      <c r="D284" s="4">
        <v>72</v>
      </c>
      <c r="E284" s="5">
        <v>4.2699999999999996</v>
      </c>
      <c r="F284" s="4">
        <v>61</v>
      </c>
      <c r="G284" s="5">
        <v>4.5599999999999996</v>
      </c>
      <c r="H284" s="4">
        <v>0</v>
      </c>
    </row>
    <row r="285" spans="1:8" x14ac:dyDescent="0.2">
      <c r="A285" s="2" t="s">
        <v>85</v>
      </c>
      <c r="B285" s="4">
        <v>385</v>
      </c>
      <c r="C285" s="5">
        <v>12.71</v>
      </c>
      <c r="D285" s="4">
        <v>334</v>
      </c>
      <c r="E285" s="5">
        <v>19.82</v>
      </c>
      <c r="F285" s="4">
        <v>51</v>
      </c>
      <c r="G285" s="5">
        <v>3.81</v>
      </c>
      <c r="H285" s="4">
        <v>0</v>
      </c>
    </row>
    <row r="286" spans="1:8" x14ac:dyDescent="0.2">
      <c r="A286" s="2" t="s">
        <v>86</v>
      </c>
      <c r="B286" s="4">
        <v>384</v>
      </c>
      <c r="C286" s="5">
        <v>12.67</v>
      </c>
      <c r="D286" s="4">
        <v>316</v>
      </c>
      <c r="E286" s="5">
        <v>18.75</v>
      </c>
      <c r="F286" s="4">
        <v>68</v>
      </c>
      <c r="G286" s="5">
        <v>5.09</v>
      </c>
      <c r="H286" s="4">
        <v>0</v>
      </c>
    </row>
    <row r="287" spans="1:8" x14ac:dyDescent="0.2">
      <c r="A287" s="2" t="s">
        <v>87</v>
      </c>
      <c r="B287" s="4">
        <v>85</v>
      </c>
      <c r="C287" s="5">
        <v>2.81</v>
      </c>
      <c r="D287" s="4">
        <v>70</v>
      </c>
      <c r="E287" s="5">
        <v>4.1500000000000004</v>
      </c>
      <c r="F287" s="4">
        <v>12</v>
      </c>
      <c r="G287" s="5">
        <v>0.9</v>
      </c>
      <c r="H287" s="4">
        <v>2</v>
      </c>
    </row>
    <row r="288" spans="1:8" x14ac:dyDescent="0.2">
      <c r="A288" s="2" t="s">
        <v>88</v>
      </c>
      <c r="B288" s="4">
        <v>245</v>
      </c>
      <c r="C288" s="5">
        <v>8.09</v>
      </c>
      <c r="D288" s="4">
        <v>168</v>
      </c>
      <c r="E288" s="5">
        <v>9.9700000000000006</v>
      </c>
      <c r="F288" s="4">
        <v>75</v>
      </c>
      <c r="G288" s="5">
        <v>5.61</v>
      </c>
      <c r="H288" s="4">
        <v>2</v>
      </c>
    </row>
    <row r="289" spans="1:8" x14ac:dyDescent="0.2">
      <c r="A289" s="2" t="s">
        <v>89</v>
      </c>
      <c r="B289" s="4">
        <v>63</v>
      </c>
      <c r="C289" s="5">
        <v>2.08</v>
      </c>
      <c r="D289" s="4">
        <v>13</v>
      </c>
      <c r="E289" s="5">
        <v>0.77</v>
      </c>
      <c r="F289" s="4">
        <v>48</v>
      </c>
      <c r="G289" s="5">
        <v>3.59</v>
      </c>
      <c r="H289" s="4">
        <v>2</v>
      </c>
    </row>
    <row r="290" spans="1:8" x14ac:dyDescent="0.2">
      <c r="A290" s="1" t="s">
        <v>18</v>
      </c>
      <c r="B290" s="4">
        <v>3483</v>
      </c>
      <c r="C290" s="5">
        <v>99.99</v>
      </c>
      <c r="D290" s="4">
        <v>1868</v>
      </c>
      <c r="E290" s="5">
        <v>100.01</v>
      </c>
      <c r="F290" s="4">
        <v>1603</v>
      </c>
      <c r="G290" s="5">
        <v>99.990000000000009</v>
      </c>
      <c r="H290" s="4">
        <v>11</v>
      </c>
    </row>
    <row r="291" spans="1:8" x14ac:dyDescent="0.2">
      <c r="A291" s="2" t="s">
        <v>75</v>
      </c>
      <c r="B291" s="4">
        <v>0</v>
      </c>
      <c r="C291" s="5">
        <v>0</v>
      </c>
      <c r="D291" s="4">
        <v>0</v>
      </c>
      <c r="E291" s="5">
        <v>0</v>
      </c>
      <c r="F291" s="4">
        <v>0</v>
      </c>
      <c r="G291" s="5">
        <v>0</v>
      </c>
      <c r="H291" s="4">
        <v>0</v>
      </c>
    </row>
    <row r="292" spans="1:8" x14ac:dyDescent="0.2">
      <c r="A292" s="2" t="s">
        <v>76</v>
      </c>
      <c r="B292" s="4">
        <v>388</v>
      </c>
      <c r="C292" s="5">
        <v>11.14</v>
      </c>
      <c r="D292" s="4">
        <v>90</v>
      </c>
      <c r="E292" s="5">
        <v>4.82</v>
      </c>
      <c r="F292" s="4">
        <v>298</v>
      </c>
      <c r="G292" s="5">
        <v>18.59</v>
      </c>
      <c r="H292" s="4">
        <v>0</v>
      </c>
    </row>
    <row r="293" spans="1:8" x14ac:dyDescent="0.2">
      <c r="A293" s="2" t="s">
        <v>77</v>
      </c>
      <c r="B293" s="4">
        <v>471</v>
      </c>
      <c r="C293" s="5">
        <v>13.52</v>
      </c>
      <c r="D293" s="4">
        <v>194</v>
      </c>
      <c r="E293" s="5">
        <v>10.39</v>
      </c>
      <c r="F293" s="4">
        <v>274</v>
      </c>
      <c r="G293" s="5">
        <v>17.09</v>
      </c>
      <c r="H293" s="4">
        <v>3</v>
      </c>
    </row>
    <row r="294" spans="1:8" x14ac:dyDescent="0.2">
      <c r="A294" s="2" t="s">
        <v>78</v>
      </c>
      <c r="B294" s="4">
        <v>1</v>
      </c>
      <c r="C294" s="5">
        <v>0.03</v>
      </c>
      <c r="D294" s="4">
        <v>0</v>
      </c>
      <c r="E294" s="5">
        <v>0</v>
      </c>
      <c r="F294" s="4">
        <v>1</v>
      </c>
      <c r="G294" s="5">
        <v>0.06</v>
      </c>
      <c r="H294" s="4">
        <v>0</v>
      </c>
    </row>
    <row r="295" spans="1:8" x14ac:dyDescent="0.2">
      <c r="A295" s="2" t="s">
        <v>79</v>
      </c>
      <c r="B295" s="4">
        <v>24</v>
      </c>
      <c r="C295" s="5">
        <v>0.69</v>
      </c>
      <c r="D295" s="4">
        <v>2</v>
      </c>
      <c r="E295" s="5">
        <v>0.11</v>
      </c>
      <c r="F295" s="4">
        <v>22</v>
      </c>
      <c r="G295" s="5">
        <v>1.37</v>
      </c>
      <c r="H295" s="4">
        <v>0</v>
      </c>
    </row>
    <row r="296" spans="1:8" x14ac:dyDescent="0.2">
      <c r="A296" s="2" t="s">
        <v>80</v>
      </c>
      <c r="B296" s="4">
        <v>39</v>
      </c>
      <c r="C296" s="5">
        <v>1.1200000000000001</v>
      </c>
      <c r="D296" s="4">
        <v>17</v>
      </c>
      <c r="E296" s="5">
        <v>0.91</v>
      </c>
      <c r="F296" s="4">
        <v>22</v>
      </c>
      <c r="G296" s="5">
        <v>1.37</v>
      </c>
      <c r="H296" s="4">
        <v>0</v>
      </c>
    </row>
    <row r="297" spans="1:8" x14ac:dyDescent="0.2">
      <c r="A297" s="2" t="s">
        <v>81</v>
      </c>
      <c r="B297" s="4">
        <v>831</v>
      </c>
      <c r="C297" s="5">
        <v>23.86</v>
      </c>
      <c r="D297" s="4">
        <v>454</v>
      </c>
      <c r="E297" s="5">
        <v>24.3</v>
      </c>
      <c r="F297" s="4">
        <v>377</v>
      </c>
      <c r="G297" s="5">
        <v>23.52</v>
      </c>
      <c r="H297" s="4">
        <v>0</v>
      </c>
    </row>
    <row r="298" spans="1:8" x14ac:dyDescent="0.2">
      <c r="A298" s="2" t="s">
        <v>82</v>
      </c>
      <c r="B298" s="4">
        <v>13</v>
      </c>
      <c r="C298" s="5">
        <v>0.37</v>
      </c>
      <c r="D298" s="4">
        <v>2</v>
      </c>
      <c r="E298" s="5">
        <v>0.11</v>
      </c>
      <c r="F298" s="4">
        <v>11</v>
      </c>
      <c r="G298" s="5">
        <v>0.69</v>
      </c>
      <c r="H298" s="4">
        <v>0</v>
      </c>
    </row>
    <row r="299" spans="1:8" x14ac:dyDescent="0.2">
      <c r="A299" s="2" t="s">
        <v>83</v>
      </c>
      <c r="B299" s="4">
        <v>493</v>
      </c>
      <c r="C299" s="5">
        <v>14.15</v>
      </c>
      <c r="D299" s="4">
        <v>165</v>
      </c>
      <c r="E299" s="5">
        <v>8.83</v>
      </c>
      <c r="F299" s="4">
        <v>328</v>
      </c>
      <c r="G299" s="5">
        <v>20.46</v>
      </c>
      <c r="H299" s="4">
        <v>0</v>
      </c>
    </row>
    <row r="300" spans="1:8" x14ac:dyDescent="0.2">
      <c r="A300" s="2" t="s">
        <v>84</v>
      </c>
      <c r="B300" s="4">
        <v>107</v>
      </c>
      <c r="C300" s="5">
        <v>3.07</v>
      </c>
      <c r="D300" s="4">
        <v>59</v>
      </c>
      <c r="E300" s="5">
        <v>3.16</v>
      </c>
      <c r="F300" s="4">
        <v>48</v>
      </c>
      <c r="G300" s="5">
        <v>2.99</v>
      </c>
      <c r="H300" s="4">
        <v>0</v>
      </c>
    </row>
    <row r="301" spans="1:8" x14ac:dyDescent="0.2">
      <c r="A301" s="2" t="s">
        <v>85</v>
      </c>
      <c r="B301" s="4">
        <v>433</v>
      </c>
      <c r="C301" s="5">
        <v>12.43</v>
      </c>
      <c r="D301" s="4">
        <v>398</v>
      </c>
      <c r="E301" s="5">
        <v>21.31</v>
      </c>
      <c r="F301" s="4">
        <v>34</v>
      </c>
      <c r="G301" s="5">
        <v>2.12</v>
      </c>
      <c r="H301" s="4">
        <v>1</v>
      </c>
    </row>
    <row r="302" spans="1:8" x14ac:dyDescent="0.2">
      <c r="A302" s="2" t="s">
        <v>86</v>
      </c>
      <c r="B302" s="4">
        <v>300</v>
      </c>
      <c r="C302" s="5">
        <v>8.61</v>
      </c>
      <c r="D302" s="4">
        <v>251</v>
      </c>
      <c r="E302" s="5">
        <v>13.44</v>
      </c>
      <c r="F302" s="4">
        <v>49</v>
      </c>
      <c r="G302" s="5">
        <v>3.06</v>
      </c>
      <c r="H302" s="4">
        <v>0</v>
      </c>
    </row>
    <row r="303" spans="1:8" x14ac:dyDescent="0.2">
      <c r="A303" s="2" t="s">
        <v>87</v>
      </c>
      <c r="B303" s="4">
        <v>97</v>
      </c>
      <c r="C303" s="5">
        <v>2.78</v>
      </c>
      <c r="D303" s="4">
        <v>77</v>
      </c>
      <c r="E303" s="5">
        <v>4.12</v>
      </c>
      <c r="F303" s="4">
        <v>18</v>
      </c>
      <c r="G303" s="5">
        <v>1.1200000000000001</v>
      </c>
      <c r="H303" s="4">
        <v>1</v>
      </c>
    </row>
    <row r="304" spans="1:8" x14ac:dyDescent="0.2">
      <c r="A304" s="2" t="s">
        <v>88</v>
      </c>
      <c r="B304" s="4">
        <v>213</v>
      </c>
      <c r="C304" s="5">
        <v>6.12</v>
      </c>
      <c r="D304" s="4">
        <v>131</v>
      </c>
      <c r="E304" s="5">
        <v>7.01</v>
      </c>
      <c r="F304" s="4">
        <v>79</v>
      </c>
      <c r="G304" s="5">
        <v>4.93</v>
      </c>
      <c r="H304" s="4">
        <v>3</v>
      </c>
    </row>
    <row r="305" spans="1:8" x14ac:dyDescent="0.2">
      <c r="A305" s="2" t="s">
        <v>89</v>
      </c>
      <c r="B305" s="4">
        <v>73</v>
      </c>
      <c r="C305" s="5">
        <v>2.1</v>
      </c>
      <c r="D305" s="4">
        <v>28</v>
      </c>
      <c r="E305" s="5">
        <v>1.5</v>
      </c>
      <c r="F305" s="4">
        <v>42</v>
      </c>
      <c r="G305" s="5">
        <v>2.62</v>
      </c>
      <c r="H305" s="4">
        <v>3</v>
      </c>
    </row>
    <row r="306" spans="1:8" x14ac:dyDescent="0.2">
      <c r="A306" s="1" t="s">
        <v>19</v>
      </c>
      <c r="B306" s="4">
        <v>2627</v>
      </c>
      <c r="C306" s="5">
        <v>99.98</v>
      </c>
      <c r="D306" s="4">
        <v>1545</v>
      </c>
      <c r="E306" s="5">
        <v>100</v>
      </c>
      <c r="F306" s="4">
        <v>1078</v>
      </c>
      <c r="G306" s="5">
        <v>99.97999999999999</v>
      </c>
      <c r="H306" s="4">
        <v>3</v>
      </c>
    </row>
    <row r="307" spans="1:8" x14ac:dyDescent="0.2">
      <c r="A307" s="2" t="s">
        <v>75</v>
      </c>
      <c r="B307" s="4">
        <v>0</v>
      </c>
      <c r="C307" s="5">
        <v>0</v>
      </c>
      <c r="D307" s="4">
        <v>0</v>
      </c>
      <c r="E307" s="5">
        <v>0</v>
      </c>
      <c r="F307" s="4">
        <v>0</v>
      </c>
      <c r="G307" s="5">
        <v>0</v>
      </c>
      <c r="H307" s="4">
        <v>0</v>
      </c>
    </row>
    <row r="308" spans="1:8" x14ac:dyDescent="0.2">
      <c r="A308" s="2" t="s">
        <v>76</v>
      </c>
      <c r="B308" s="4">
        <v>195</v>
      </c>
      <c r="C308" s="5">
        <v>7.42</v>
      </c>
      <c r="D308" s="4">
        <v>48</v>
      </c>
      <c r="E308" s="5">
        <v>3.11</v>
      </c>
      <c r="F308" s="4">
        <v>147</v>
      </c>
      <c r="G308" s="5">
        <v>13.64</v>
      </c>
      <c r="H308" s="4">
        <v>0</v>
      </c>
    </row>
    <row r="309" spans="1:8" x14ac:dyDescent="0.2">
      <c r="A309" s="2" t="s">
        <v>77</v>
      </c>
      <c r="B309" s="4">
        <v>355</v>
      </c>
      <c r="C309" s="5">
        <v>13.51</v>
      </c>
      <c r="D309" s="4">
        <v>137</v>
      </c>
      <c r="E309" s="5">
        <v>8.8699999999999992</v>
      </c>
      <c r="F309" s="4">
        <v>218</v>
      </c>
      <c r="G309" s="5">
        <v>20.22</v>
      </c>
      <c r="H309" s="4">
        <v>0</v>
      </c>
    </row>
    <row r="310" spans="1:8" x14ac:dyDescent="0.2">
      <c r="A310" s="2" t="s">
        <v>78</v>
      </c>
      <c r="B310" s="4">
        <v>0</v>
      </c>
      <c r="C310" s="5">
        <v>0</v>
      </c>
      <c r="D310" s="4">
        <v>0</v>
      </c>
      <c r="E310" s="5">
        <v>0</v>
      </c>
      <c r="F310" s="4">
        <v>0</v>
      </c>
      <c r="G310" s="5">
        <v>0</v>
      </c>
      <c r="H310" s="4">
        <v>0</v>
      </c>
    </row>
    <row r="311" spans="1:8" x14ac:dyDescent="0.2">
      <c r="A311" s="2" t="s">
        <v>79</v>
      </c>
      <c r="B311" s="4">
        <v>6</v>
      </c>
      <c r="C311" s="5">
        <v>0.23</v>
      </c>
      <c r="D311" s="4">
        <v>1</v>
      </c>
      <c r="E311" s="5">
        <v>0.06</v>
      </c>
      <c r="F311" s="4">
        <v>5</v>
      </c>
      <c r="G311" s="5">
        <v>0.46</v>
      </c>
      <c r="H311" s="4">
        <v>0</v>
      </c>
    </row>
    <row r="312" spans="1:8" x14ac:dyDescent="0.2">
      <c r="A312" s="2" t="s">
        <v>80</v>
      </c>
      <c r="B312" s="4">
        <v>19</v>
      </c>
      <c r="C312" s="5">
        <v>0.72</v>
      </c>
      <c r="D312" s="4">
        <v>4</v>
      </c>
      <c r="E312" s="5">
        <v>0.26</v>
      </c>
      <c r="F312" s="4">
        <v>15</v>
      </c>
      <c r="G312" s="5">
        <v>1.39</v>
      </c>
      <c r="H312" s="4">
        <v>0</v>
      </c>
    </row>
    <row r="313" spans="1:8" x14ac:dyDescent="0.2">
      <c r="A313" s="2" t="s">
        <v>81</v>
      </c>
      <c r="B313" s="4">
        <v>656</v>
      </c>
      <c r="C313" s="5">
        <v>24.97</v>
      </c>
      <c r="D313" s="4">
        <v>413</v>
      </c>
      <c r="E313" s="5">
        <v>26.73</v>
      </c>
      <c r="F313" s="4">
        <v>243</v>
      </c>
      <c r="G313" s="5">
        <v>22.54</v>
      </c>
      <c r="H313" s="4">
        <v>0</v>
      </c>
    </row>
    <row r="314" spans="1:8" x14ac:dyDescent="0.2">
      <c r="A314" s="2" t="s">
        <v>82</v>
      </c>
      <c r="B314" s="4">
        <v>5</v>
      </c>
      <c r="C314" s="5">
        <v>0.19</v>
      </c>
      <c r="D314" s="4">
        <v>0</v>
      </c>
      <c r="E314" s="5">
        <v>0</v>
      </c>
      <c r="F314" s="4">
        <v>5</v>
      </c>
      <c r="G314" s="5">
        <v>0.46</v>
      </c>
      <c r="H314" s="4">
        <v>0</v>
      </c>
    </row>
    <row r="315" spans="1:8" x14ac:dyDescent="0.2">
      <c r="A315" s="2" t="s">
        <v>83</v>
      </c>
      <c r="B315" s="4">
        <v>406</v>
      </c>
      <c r="C315" s="5">
        <v>15.45</v>
      </c>
      <c r="D315" s="4">
        <v>213</v>
      </c>
      <c r="E315" s="5">
        <v>13.79</v>
      </c>
      <c r="F315" s="4">
        <v>193</v>
      </c>
      <c r="G315" s="5">
        <v>17.899999999999999</v>
      </c>
      <c r="H315" s="4">
        <v>0</v>
      </c>
    </row>
    <row r="316" spans="1:8" x14ac:dyDescent="0.2">
      <c r="A316" s="2" t="s">
        <v>84</v>
      </c>
      <c r="B316" s="4">
        <v>52</v>
      </c>
      <c r="C316" s="5">
        <v>1.98</v>
      </c>
      <c r="D316" s="4">
        <v>23</v>
      </c>
      <c r="E316" s="5">
        <v>1.49</v>
      </c>
      <c r="F316" s="4">
        <v>28</v>
      </c>
      <c r="G316" s="5">
        <v>2.6</v>
      </c>
      <c r="H316" s="4">
        <v>1</v>
      </c>
    </row>
    <row r="317" spans="1:8" x14ac:dyDescent="0.2">
      <c r="A317" s="2" t="s">
        <v>85</v>
      </c>
      <c r="B317" s="4">
        <v>419</v>
      </c>
      <c r="C317" s="5">
        <v>15.95</v>
      </c>
      <c r="D317" s="4">
        <v>354</v>
      </c>
      <c r="E317" s="5">
        <v>22.91</v>
      </c>
      <c r="F317" s="4">
        <v>65</v>
      </c>
      <c r="G317" s="5">
        <v>6.03</v>
      </c>
      <c r="H317" s="4">
        <v>0</v>
      </c>
    </row>
    <row r="318" spans="1:8" x14ac:dyDescent="0.2">
      <c r="A318" s="2" t="s">
        <v>86</v>
      </c>
      <c r="B318" s="4">
        <v>261</v>
      </c>
      <c r="C318" s="5">
        <v>9.94</v>
      </c>
      <c r="D318" s="4">
        <v>220</v>
      </c>
      <c r="E318" s="5">
        <v>14.24</v>
      </c>
      <c r="F318" s="4">
        <v>41</v>
      </c>
      <c r="G318" s="5">
        <v>3.8</v>
      </c>
      <c r="H318" s="4">
        <v>0</v>
      </c>
    </row>
    <row r="319" spans="1:8" x14ac:dyDescent="0.2">
      <c r="A319" s="2" t="s">
        <v>87</v>
      </c>
      <c r="B319" s="4">
        <v>34</v>
      </c>
      <c r="C319" s="5">
        <v>1.29</v>
      </c>
      <c r="D319" s="4">
        <v>28</v>
      </c>
      <c r="E319" s="5">
        <v>1.81</v>
      </c>
      <c r="F319" s="4">
        <v>5</v>
      </c>
      <c r="G319" s="5">
        <v>0.46</v>
      </c>
      <c r="H319" s="4">
        <v>0</v>
      </c>
    </row>
    <row r="320" spans="1:8" x14ac:dyDescent="0.2">
      <c r="A320" s="2" t="s">
        <v>88</v>
      </c>
      <c r="B320" s="4">
        <v>163</v>
      </c>
      <c r="C320" s="5">
        <v>6.2</v>
      </c>
      <c r="D320" s="4">
        <v>85</v>
      </c>
      <c r="E320" s="5">
        <v>5.5</v>
      </c>
      <c r="F320" s="4">
        <v>76</v>
      </c>
      <c r="G320" s="5">
        <v>7.05</v>
      </c>
      <c r="H320" s="4">
        <v>2</v>
      </c>
    </row>
    <row r="321" spans="1:8" x14ac:dyDescent="0.2">
      <c r="A321" s="2" t="s">
        <v>89</v>
      </c>
      <c r="B321" s="4">
        <v>56</v>
      </c>
      <c r="C321" s="5">
        <v>2.13</v>
      </c>
      <c r="D321" s="4">
        <v>19</v>
      </c>
      <c r="E321" s="5">
        <v>1.23</v>
      </c>
      <c r="F321" s="4">
        <v>37</v>
      </c>
      <c r="G321" s="5">
        <v>3.43</v>
      </c>
      <c r="H321" s="4">
        <v>0</v>
      </c>
    </row>
    <row r="322" spans="1:8" x14ac:dyDescent="0.2">
      <c r="A322" s="1" t="s">
        <v>20</v>
      </c>
      <c r="B322" s="4">
        <v>6369</v>
      </c>
      <c r="C322" s="5">
        <v>99.999999999999986</v>
      </c>
      <c r="D322" s="4">
        <v>2419</v>
      </c>
      <c r="E322" s="5">
        <v>100.01</v>
      </c>
      <c r="F322" s="4">
        <v>3933</v>
      </c>
      <c r="G322" s="5">
        <v>100.02000000000001</v>
      </c>
      <c r="H322" s="4">
        <v>16</v>
      </c>
    </row>
    <row r="323" spans="1:8" x14ac:dyDescent="0.2">
      <c r="A323" s="2" t="s">
        <v>75</v>
      </c>
      <c r="B323" s="4">
        <v>0</v>
      </c>
      <c r="C323" s="5">
        <v>0</v>
      </c>
      <c r="D323" s="4">
        <v>0</v>
      </c>
      <c r="E323" s="5">
        <v>0</v>
      </c>
      <c r="F323" s="4">
        <v>0</v>
      </c>
      <c r="G323" s="5">
        <v>0</v>
      </c>
      <c r="H323" s="4">
        <v>0</v>
      </c>
    </row>
    <row r="324" spans="1:8" x14ac:dyDescent="0.2">
      <c r="A324" s="2" t="s">
        <v>76</v>
      </c>
      <c r="B324" s="4">
        <v>552</v>
      </c>
      <c r="C324" s="5">
        <v>8.67</v>
      </c>
      <c r="D324" s="4">
        <v>57</v>
      </c>
      <c r="E324" s="5">
        <v>2.36</v>
      </c>
      <c r="F324" s="4">
        <v>495</v>
      </c>
      <c r="G324" s="5">
        <v>12.59</v>
      </c>
      <c r="H324" s="4">
        <v>0</v>
      </c>
    </row>
    <row r="325" spans="1:8" x14ac:dyDescent="0.2">
      <c r="A325" s="2" t="s">
        <v>77</v>
      </c>
      <c r="B325" s="4">
        <v>655</v>
      </c>
      <c r="C325" s="5">
        <v>10.28</v>
      </c>
      <c r="D325" s="4">
        <v>173</v>
      </c>
      <c r="E325" s="5">
        <v>7.15</v>
      </c>
      <c r="F325" s="4">
        <v>482</v>
      </c>
      <c r="G325" s="5">
        <v>12.26</v>
      </c>
      <c r="H325" s="4">
        <v>0</v>
      </c>
    </row>
    <row r="326" spans="1:8" x14ac:dyDescent="0.2">
      <c r="A326" s="2" t="s">
        <v>78</v>
      </c>
      <c r="B326" s="4">
        <v>4</v>
      </c>
      <c r="C326" s="5">
        <v>0.06</v>
      </c>
      <c r="D326" s="4">
        <v>0</v>
      </c>
      <c r="E326" s="5">
        <v>0</v>
      </c>
      <c r="F326" s="4">
        <v>4</v>
      </c>
      <c r="G326" s="5">
        <v>0.1</v>
      </c>
      <c r="H326" s="4">
        <v>0</v>
      </c>
    </row>
    <row r="327" spans="1:8" x14ac:dyDescent="0.2">
      <c r="A327" s="2" t="s">
        <v>79</v>
      </c>
      <c r="B327" s="4">
        <v>209</v>
      </c>
      <c r="C327" s="5">
        <v>3.28</v>
      </c>
      <c r="D327" s="4">
        <v>9</v>
      </c>
      <c r="E327" s="5">
        <v>0.37</v>
      </c>
      <c r="F327" s="4">
        <v>200</v>
      </c>
      <c r="G327" s="5">
        <v>5.09</v>
      </c>
      <c r="H327" s="4">
        <v>0</v>
      </c>
    </row>
    <row r="328" spans="1:8" x14ac:dyDescent="0.2">
      <c r="A328" s="2" t="s">
        <v>80</v>
      </c>
      <c r="B328" s="4">
        <v>60</v>
      </c>
      <c r="C328" s="5">
        <v>0.94</v>
      </c>
      <c r="D328" s="4">
        <v>14</v>
      </c>
      <c r="E328" s="5">
        <v>0.57999999999999996</v>
      </c>
      <c r="F328" s="4">
        <v>45</v>
      </c>
      <c r="G328" s="5">
        <v>1.1399999999999999</v>
      </c>
      <c r="H328" s="4">
        <v>1</v>
      </c>
    </row>
    <row r="329" spans="1:8" x14ac:dyDescent="0.2">
      <c r="A329" s="2" t="s">
        <v>81</v>
      </c>
      <c r="B329" s="4">
        <v>1563</v>
      </c>
      <c r="C329" s="5">
        <v>24.54</v>
      </c>
      <c r="D329" s="4">
        <v>407</v>
      </c>
      <c r="E329" s="5">
        <v>16.829999999999998</v>
      </c>
      <c r="F329" s="4">
        <v>1156</v>
      </c>
      <c r="G329" s="5">
        <v>29.39</v>
      </c>
      <c r="H329" s="4">
        <v>0</v>
      </c>
    </row>
    <row r="330" spans="1:8" x14ac:dyDescent="0.2">
      <c r="A330" s="2" t="s">
        <v>82</v>
      </c>
      <c r="B330" s="4">
        <v>42</v>
      </c>
      <c r="C330" s="5">
        <v>0.66</v>
      </c>
      <c r="D330" s="4">
        <v>4</v>
      </c>
      <c r="E330" s="5">
        <v>0.17</v>
      </c>
      <c r="F330" s="4">
        <v>38</v>
      </c>
      <c r="G330" s="5">
        <v>0.97</v>
      </c>
      <c r="H330" s="4">
        <v>0</v>
      </c>
    </row>
    <row r="331" spans="1:8" x14ac:dyDescent="0.2">
      <c r="A331" s="2" t="s">
        <v>83</v>
      </c>
      <c r="B331" s="4">
        <v>765</v>
      </c>
      <c r="C331" s="5">
        <v>12.01</v>
      </c>
      <c r="D331" s="4">
        <v>203</v>
      </c>
      <c r="E331" s="5">
        <v>8.39</v>
      </c>
      <c r="F331" s="4">
        <v>558</v>
      </c>
      <c r="G331" s="5">
        <v>14.19</v>
      </c>
      <c r="H331" s="4">
        <v>4</v>
      </c>
    </row>
    <row r="332" spans="1:8" x14ac:dyDescent="0.2">
      <c r="A332" s="2" t="s">
        <v>84</v>
      </c>
      <c r="B332" s="4">
        <v>647</v>
      </c>
      <c r="C332" s="5">
        <v>10.16</v>
      </c>
      <c r="D332" s="4">
        <v>286</v>
      </c>
      <c r="E332" s="5">
        <v>11.82</v>
      </c>
      <c r="F332" s="4">
        <v>360</v>
      </c>
      <c r="G332" s="5">
        <v>9.15</v>
      </c>
      <c r="H332" s="4">
        <v>1</v>
      </c>
    </row>
    <row r="333" spans="1:8" x14ac:dyDescent="0.2">
      <c r="A333" s="2" t="s">
        <v>85</v>
      </c>
      <c r="B333" s="4">
        <v>799</v>
      </c>
      <c r="C333" s="5">
        <v>12.55</v>
      </c>
      <c r="D333" s="4">
        <v>658</v>
      </c>
      <c r="E333" s="5">
        <v>27.2</v>
      </c>
      <c r="F333" s="4">
        <v>141</v>
      </c>
      <c r="G333" s="5">
        <v>3.59</v>
      </c>
      <c r="H333" s="4">
        <v>0</v>
      </c>
    </row>
    <row r="334" spans="1:8" x14ac:dyDescent="0.2">
      <c r="A334" s="2" t="s">
        <v>86</v>
      </c>
      <c r="B334" s="4">
        <v>445</v>
      </c>
      <c r="C334" s="5">
        <v>6.99</v>
      </c>
      <c r="D334" s="4">
        <v>325</v>
      </c>
      <c r="E334" s="5">
        <v>13.44</v>
      </c>
      <c r="F334" s="4">
        <v>119</v>
      </c>
      <c r="G334" s="5">
        <v>3.03</v>
      </c>
      <c r="H334" s="4">
        <v>1</v>
      </c>
    </row>
    <row r="335" spans="1:8" x14ac:dyDescent="0.2">
      <c r="A335" s="2" t="s">
        <v>87</v>
      </c>
      <c r="B335" s="4">
        <v>135</v>
      </c>
      <c r="C335" s="5">
        <v>2.12</v>
      </c>
      <c r="D335" s="4">
        <v>81</v>
      </c>
      <c r="E335" s="5">
        <v>3.35</v>
      </c>
      <c r="F335" s="4">
        <v>53</v>
      </c>
      <c r="G335" s="5">
        <v>1.35</v>
      </c>
      <c r="H335" s="4">
        <v>0</v>
      </c>
    </row>
    <row r="336" spans="1:8" x14ac:dyDescent="0.2">
      <c r="A336" s="2" t="s">
        <v>88</v>
      </c>
      <c r="B336" s="4">
        <v>260</v>
      </c>
      <c r="C336" s="5">
        <v>4.08</v>
      </c>
      <c r="D336" s="4">
        <v>175</v>
      </c>
      <c r="E336" s="5">
        <v>7.23</v>
      </c>
      <c r="F336" s="4">
        <v>83</v>
      </c>
      <c r="G336" s="5">
        <v>2.11</v>
      </c>
      <c r="H336" s="4">
        <v>2</v>
      </c>
    </row>
    <row r="337" spans="1:8" x14ac:dyDescent="0.2">
      <c r="A337" s="2" t="s">
        <v>89</v>
      </c>
      <c r="B337" s="4">
        <v>233</v>
      </c>
      <c r="C337" s="5">
        <v>3.66</v>
      </c>
      <c r="D337" s="4">
        <v>27</v>
      </c>
      <c r="E337" s="5">
        <v>1.1200000000000001</v>
      </c>
      <c r="F337" s="4">
        <v>199</v>
      </c>
      <c r="G337" s="5">
        <v>5.0599999999999996</v>
      </c>
      <c r="H337" s="4">
        <v>7</v>
      </c>
    </row>
    <row r="338" spans="1:8" x14ac:dyDescent="0.2">
      <c r="A338" s="1" t="s">
        <v>21</v>
      </c>
      <c r="B338" s="4">
        <v>2130</v>
      </c>
      <c r="C338" s="5">
        <v>99.99</v>
      </c>
      <c r="D338" s="4">
        <v>952</v>
      </c>
      <c r="E338" s="5">
        <v>100</v>
      </c>
      <c r="F338" s="4">
        <v>1171</v>
      </c>
      <c r="G338" s="5">
        <v>100.00000000000001</v>
      </c>
      <c r="H338" s="4">
        <v>6</v>
      </c>
    </row>
    <row r="339" spans="1:8" x14ac:dyDescent="0.2">
      <c r="A339" s="2" t="s">
        <v>75</v>
      </c>
      <c r="B339" s="4">
        <v>0</v>
      </c>
      <c r="C339" s="5">
        <v>0</v>
      </c>
      <c r="D339" s="4">
        <v>0</v>
      </c>
      <c r="E339" s="5">
        <v>0</v>
      </c>
      <c r="F339" s="4">
        <v>0</v>
      </c>
      <c r="G339" s="5">
        <v>0</v>
      </c>
      <c r="H339" s="4">
        <v>0</v>
      </c>
    </row>
    <row r="340" spans="1:8" x14ac:dyDescent="0.2">
      <c r="A340" s="2" t="s">
        <v>76</v>
      </c>
      <c r="B340" s="4">
        <v>266</v>
      </c>
      <c r="C340" s="5">
        <v>12.49</v>
      </c>
      <c r="D340" s="4">
        <v>46</v>
      </c>
      <c r="E340" s="5">
        <v>4.83</v>
      </c>
      <c r="F340" s="4">
        <v>220</v>
      </c>
      <c r="G340" s="5">
        <v>18.79</v>
      </c>
      <c r="H340" s="4">
        <v>0</v>
      </c>
    </row>
    <row r="341" spans="1:8" x14ac:dyDescent="0.2">
      <c r="A341" s="2" t="s">
        <v>77</v>
      </c>
      <c r="B341" s="4">
        <v>332</v>
      </c>
      <c r="C341" s="5">
        <v>15.59</v>
      </c>
      <c r="D341" s="4">
        <v>108</v>
      </c>
      <c r="E341" s="5">
        <v>11.34</v>
      </c>
      <c r="F341" s="4">
        <v>224</v>
      </c>
      <c r="G341" s="5">
        <v>19.13</v>
      </c>
      <c r="H341" s="4">
        <v>0</v>
      </c>
    </row>
    <row r="342" spans="1:8" x14ac:dyDescent="0.2">
      <c r="A342" s="2" t="s">
        <v>78</v>
      </c>
      <c r="B342" s="4">
        <v>2</v>
      </c>
      <c r="C342" s="5">
        <v>0.09</v>
      </c>
      <c r="D342" s="4">
        <v>0</v>
      </c>
      <c r="E342" s="5">
        <v>0</v>
      </c>
      <c r="F342" s="4">
        <v>2</v>
      </c>
      <c r="G342" s="5">
        <v>0.17</v>
      </c>
      <c r="H342" s="4">
        <v>0</v>
      </c>
    </row>
    <row r="343" spans="1:8" x14ac:dyDescent="0.2">
      <c r="A343" s="2" t="s">
        <v>79</v>
      </c>
      <c r="B343" s="4">
        <v>16</v>
      </c>
      <c r="C343" s="5">
        <v>0.75</v>
      </c>
      <c r="D343" s="4">
        <v>1</v>
      </c>
      <c r="E343" s="5">
        <v>0.11</v>
      </c>
      <c r="F343" s="4">
        <v>15</v>
      </c>
      <c r="G343" s="5">
        <v>1.28</v>
      </c>
      <c r="H343" s="4">
        <v>0</v>
      </c>
    </row>
    <row r="344" spans="1:8" x14ac:dyDescent="0.2">
      <c r="A344" s="2" t="s">
        <v>80</v>
      </c>
      <c r="B344" s="4">
        <v>32</v>
      </c>
      <c r="C344" s="5">
        <v>1.5</v>
      </c>
      <c r="D344" s="4">
        <v>6</v>
      </c>
      <c r="E344" s="5">
        <v>0.63</v>
      </c>
      <c r="F344" s="4">
        <v>26</v>
      </c>
      <c r="G344" s="5">
        <v>2.2200000000000002</v>
      </c>
      <c r="H344" s="4">
        <v>0</v>
      </c>
    </row>
    <row r="345" spans="1:8" x14ac:dyDescent="0.2">
      <c r="A345" s="2" t="s">
        <v>81</v>
      </c>
      <c r="B345" s="4">
        <v>438</v>
      </c>
      <c r="C345" s="5">
        <v>20.56</v>
      </c>
      <c r="D345" s="4">
        <v>187</v>
      </c>
      <c r="E345" s="5">
        <v>19.64</v>
      </c>
      <c r="F345" s="4">
        <v>251</v>
      </c>
      <c r="G345" s="5">
        <v>21.43</v>
      </c>
      <c r="H345" s="4">
        <v>0</v>
      </c>
    </row>
    <row r="346" spans="1:8" x14ac:dyDescent="0.2">
      <c r="A346" s="2" t="s">
        <v>82</v>
      </c>
      <c r="B346" s="4">
        <v>8</v>
      </c>
      <c r="C346" s="5">
        <v>0.38</v>
      </c>
      <c r="D346" s="4">
        <v>2</v>
      </c>
      <c r="E346" s="5">
        <v>0.21</v>
      </c>
      <c r="F346" s="4">
        <v>6</v>
      </c>
      <c r="G346" s="5">
        <v>0.51</v>
      </c>
      <c r="H346" s="4">
        <v>0</v>
      </c>
    </row>
    <row r="347" spans="1:8" x14ac:dyDescent="0.2">
      <c r="A347" s="2" t="s">
        <v>83</v>
      </c>
      <c r="B347" s="4">
        <v>390</v>
      </c>
      <c r="C347" s="5">
        <v>18.309999999999999</v>
      </c>
      <c r="D347" s="4">
        <v>143</v>
      </c>
      <c r="E347" s="5">
        <v>15.02</v>
      </c>
      <c r="F347" s="4">
        <v>245</v>
      </c>
      <c r="G347" s="5">
        <v>20.92</v>
      </c>
      <c r="H347" s="4">
        <v>2</v>
      </c>
    </row>
    <row r="348" spans="1:8" x14ac:dyDescent="0.2">
      <c r="A348" s="2" t="s">
        <v>84</v>
      </c>
      <c r="B348" s="4">
        <v>45</v>
      </c>
      <c r="C348" s="5">
        <v>2.11</v>
      </c>
      <c r="D348" s="4">
        <v>24</v>
      </c>
      <c r="E348" s="5">
        <v>2.52</v>
      </c>
      <c r="F348" s="4">
        <v>21</v>
      </c>
      <c r="G348" s="5">
        <v>1.79</v>
      </c>
      <c r="H348" s="4">
        <v>0</v>
      </c>
    </row>
    <row r="349" spans="1:8" x14ac:dyDescent="0.2">
      <c r="A349" s="2" t="s">
        <v>85</v>
      </c>
      <c r="B349" s="4">
        <v>182</v>
      </c>
      <c r="C349" s="5">
        <v>8.5399999999999991</v>
      </c>
      <c r="D349" s="4">
        <v>154</v>
      </c>
      <c r="E349" s="5">
        <v>16.18</v>
      </c>
      <c r="F349" s="4">
        <v>28</v>
      </c>
      <c r="G349" s="5">
        <v>2.39</v>
      </c>
      <c r="H349" s="4">
        <v>0</v>
      </c>
    </row>
    <row r="350" spans="1:8" x14ac:dyDescent="0.2">
      <c r="A350" s="2" t="s">
        <v>86</v>
      </c>
      <c r="B350" s="4">
        <v>208</v>
      </c>
      <c r="C350" s="5">
        <v>9.77</v>
      </c>
      <c r="D350" s="4">
        <v>160</v>
      </c>
      <c r="E350" s="5">
        <v>16.809999999999999</v>
      </c>
      <c r="F350" s="4">
        <v>48</v>
      </c>
      <c r="G350" s="5">
        <v>4.0999999999999996</v>
      </c>
      <c r="H350" s="4">
        <v>0</v>
      </c>
    </row>
    <row r="351" spans="1:8" x14ac:dyDescent="0.2">
      <c r="A351" s="2" t="s">
        <v>87</v>
      </c>
      <c r="B351" s="4">
        <v>58</v>
      </c>
      <c r="C351" s="5">
        <v>2.72</v>
      </c>
      <c r="D351" s="4">
        <v>42</v>
      </c>
      <c r="E351" s="5">
        <v>4.41</v>
      </c>
      <c r="F351" s="4">
        <v>14</v>
      </c>
      <c r="G351" s="5">
        <v>1.2</v>
      </c>
      <c r="H351" s="4">
        <v>1</v>
      </c>
    </row>
    <row r="352" spans="1:8" x14ac:dyDescent="0.2">
      <c r="A352" s="2" t="s">
        <v>88</v>
      </c>
      <c r="B352" s="4">
        <v>92</v>
      </c>
      <c r="C352" s="5">
        <v>4.32</v>
      </c>
      <c r="D352" s="4">
        <v>58</v>
      </c>
      <c r="E352" s="5">
        <v>6.09</v>
      </c>
      <c r="F352" s="4">
        <v>31</v>
      </c>
      <c r="G352" s="5">
        <v>2.65</v>
      </c>
      <c r="H352" s="4">
        <v>3</v>
      </c>
    </row>
    <row r="353" spans="1:8" x14ac:dyDescent="0.2">
      <c r="A353" s="2" t="s">
        <v>89</v>
      </c>
      <c r="B353" s="4">
        <v>61</v>
      </c>
      <c r="C353" s="5">
        <v>2.86</v>
      </c>
      <c r="D353" s="4">
        <v>21</v>
      </c>
      <c r="E353" s="5">
        <v>2.21</v>
      </c>
      <c r="F353" s="4">
        <v>40</v>
      </c>
      <c r="G353" s="5">
        <v>3.42</v>
      </c>
      <c r="H353" s="4">
        <v>0</v>
      </c>
    </row>
    <row r="354" spans="1:8" x14ac:dyDescent="0.2">
      <c r="A354" s="1" t="s">
        <v>22</v>
      </c>
      <c r="B354" s="4">
        <v>2440</v>
      </c>
      <c r="C354" s="5">
        <v>100</v>
      </c>
      <c r="D354" s="4">
        <v>1146</v>
      </c>
      <c r="E354" s="5">
        <v>100.02000000000001</v>
      </c>
      <c r="F354" s="4">
        <v>1292</v>
      </c>
      <c r="G354" s="5">
        <v>99.990000000000023</v>
      </c>
      <c r="H354" s="4">
        <v>1</v>
      </c>
    </row>
    <row r="355" spans="1:8" x14ac:dyDescent="0.2">
      <c r="A355" s="2" t="s">
        <v>75</v>
      </c>
      <c r="B355" s="4">
        <v>0</v>
      </c>
      <c r="C355" s="5">
        <v>0</v>
      </c>
      <c r="D355" s="4">
        <v>0</v>
      </c>
      <c r="E355" s="5">
        <v>0</v>
      </c>
      <c r="F355" s="4">
        <v>0</v>
      </c>
      <c r="G355" s="5">
        <v>0</v>
      </c>
      <c r="H355" s="4">
        <v>0</v>
      </c>
    </row>
    <row r="356" spans="1:8" x14ac:dyDescent="0.2">
      <c r="A356" s="2" t="s">
        <v>76</v>
      </c>
      <c r="B356" s="4">
        <v>247</v>
      </c>
      <c r="C356" s="5">
        <v>10.119999999999999</v>
      </c>
      <c r="D356" s="4">
        <v>44</v>
      </c>
      <c r="E356" s="5">
        <v>3.84</v>
      </c>
      <c r="F356" s="4">
        <v>203</v>
      </c>
      <c r="G356" s="5">
        <v>15.71</v>
      </c>
      <c r="H356" s="4">
        <v>0</v>
      </c>
    </row>
    <row r="357" spans="1:8" x14ac:dyDescent="0.2">
      <c r="A357" s="2" t="s">
        <v>77</v>
      </c>
      <c r="B357" s="4">
        <v>233</v>
      </c>
      <c r="C357" s="5">
        <v>9.5500000000000007</v>
      </c>
      <c r="D357" s="4">
        <v>65</v>
      </c>
      <c r="E357" s="5">
        <v>5.67</v>
      </c>
      <c r="F357" s="4">
        <v>168</v>
      </c>
      <c r="G357" s="5">
        <v>13</v>
      </c>
      <c r="H357" s="4">
        <v>0</v>
      </c>
    </row>
    <row r="358" spans="1:8" x14ac:dyDescent="0.2">
      <c r="A358" s="2" t="s">
        <v>78</v>
      </c>
      <c r="B358" s="4">
        <v>3</v>
      </c>
      <c r="C358" s="5">
        <v>0.12</v>
      </c>
      <c r="D358" s="4">
        <v>0</v>
      </c>
      <c r="E358" s="5">
        <v>0</v>
      </c>
      <c r="F358" s="4">
        <v>3</v>
      </c>
      <c r="G358" s="5">
        <v>0.23</v>
      </c>
      <c r="H358" s="4">
        <v>0</v>
      </c>
    </row>
    <row r="359" spans="1:8" x14ac:dyDescent="0.2">
      <c r="A359" s="2" t="s">
        <v>79</v>
      </c>
      <c r="B359" s="4">
        <v>21</v>
      </c>
      <c r="C359" s="5">
        <v>0.86</v>
      </c>
      <c r="D359" s="4">
        <v>1</v>
      </c>
      <c r="E359" s="5">
        <v>0.09</v>
      </c>
      <c r="F359" s="4">
        <v>20</v>
      </c>
      <c r="G359" s="5">
        <v>1.55</v>
      </c>
      <c r="H359" s="4">
        <v>0</v>
      </c>
    </row>
    <row r="360" spans="1:8" x14ac:dyDescent="0.2">
      <c r="A360" s="2" t="s">
        <v>80</v>
      </c>
      <c r="B360" s="4">
        <v>136</v>
      </c>
      <c r="C360" s="5">
        <v>5.57</v>
      </c>
      <c r="D360" s="4">
        <v>14</v>
      </c>
      <c r="E360" s="5">
        <v>1.22</v>
      </c>
      <c r="F360" s="4">
        <v>122</v>
      </c>
      <c r="G360" s="5">
        <v>9.44</v>
      </c>
      <c r="H360" s="4">
        <v>0</v>
      </c>
    </row>
    <row r="361" spans="1:8" x14ac:dyDescent="0.2">
      <c r="A361" s="2" t="s">
        <v>81</v>
      </c>
      <c r="B361" s="4">
        <v>670</v>
      </c>
      <c r="C361" s="5">
        <v>27.46</v>
      </c>
      <c r="D361" s="4">
        <v>348</v>
      </c>
      <c r="E361" s="5">
        <v>30.37</v>
      </c>
      <c r="F361" s="4">
        <v>322</v>
      </c>
      <c r="G361" s="5">
        <v>24.92</v>
      </c>
      <c r="H361" s="4">
        <v>0</v>
      </c>
    </row>
    <row r="362" spans="1:8" x14ac:dyDescent="0.2">
      <c r="A362" s="2" t="s">
        <v>82</v>
      </c>
      <c r="B362" s="4">
        <v>9</v>
      </c>
      <c r="C362" s="5">
        <v>0.37</v>
      </c>
      <c r="D362" s="4">
        <v>1</v>
      </c>
      <c r="E362" s="5">
        <v>0.09</v>
      </c>
      <c r="F362" s="4">
        <v>8</v>
      </c>
      <c r="G362" s="5">
        <v>0.62</v>
      </c>
      <c r="H362" s="4">
        <v>0</v>
      </c>
    </row>
    <row r="363" spans="1:8" x14ac:dyDescent="0.2">
      <c r="A363" s="2" t="s">
        <v>83</v>
      </c>
      <c r="B363" s="4">
        <v>270</v>
      </c>
      <c r="C363" s="5">
        <v>11.07</v>
      </c>
      <c r="D363" s="4">
        <v>93</v>
      </c>
      <c r="E363" s="5">
        <v>8.1199999999999992</v>
      </c>
      <c r="F363" s="4">
        <v>177</v>
      </c>
      <c r="G363" s="5">
        <v>13.7</v>
      </c>
      <c r="H363" s="4">
        <v>0</v>
      </c>
    </row>
    <row r="364" spans="1:8" x14ac:dyDescent="0.2">
      <c r="A364" s="2" t="s">
        <v>84</v>
      </c>
      <c r="B364" s="4">
        <v>75</v>
      </c>
      <c r="C364" s="5">
        <v>3.07</v>
      </c>
      <c r="D364" s="4">
        <v>30</v>
      </c>
      <c r="E364" s="5">
        <v>2.62</v>
      </c>
      <c r="F364" s="4">
        <v>45</v>
      </c>
      <c r="G364" s="5">
        <v>3.48</v>
      </c>
      <c r="H364" s="4">
        <v>0</v>
      </c>
    </row>
    <row r="365" spans="1:8" x14ac:dyDescent="0.2">
      <c r="A365" s="2" t="s">
        <v>85</v>
      </c>
      <c r="B365" s="4">
        <v>267</v>
      </c>
      <c r="C365" s="5">
        <v>10.94</v>
      </c>
      <c r="D365" s="4">
        <v>231</v>
      </c>
      <c r="E365" s="5">
        <v>20.16</v>
      </c>
      <c r="F365" s="4">
        <v>36</v>
      </c>
      <c r="G365" s="5">
        <v>2.79</v>
      </c>
      <c r="H365" s="4">
        <v>0</v>
      </c>
    </row>
    <row r="366" spans="1:8" x14ac:dyDescent="0.2">
      <c r="A366" s="2" t="s">
        <v>86</v>
      </c>
      <c r="B366" s="4">
        <v>242</v>
      </c>
      <c r="C366" s="5">
        <v>9.92</v>
      </c>
      <c r="D366" s="4">
        <v>193</v>
      </c>
      <c r="E366" s="5">
        <v>16.84</v>
      </c>
      <c r="F366" s="4">
        <v>49</v>
      </c>
      <c r="G366" s="5">
        <v>3.79</v>
      </c>
      <c r="H366" s="4">
        <v>0</v>
      </c>
    </row>
    <row r="367" spans="1:8" x14ac:dyDescent="0.2">
      <c r="A367" s="2" t="s">
        <v>87</v>
      </c>
      <c r="B367" s="4">
        <v>36</v>
      </c>
      <c r="C367" s="5">
        <v>1.48</v>
      </c>
      <c r="D367" s="4">
        <v>23</v>
      </c>
      <c r="E367" s="5">
        <v>2.0099999999999998</v>
      </c>
      <c r="F367" s="4">
        <v>12</v>
      </c>
      <c r="G367" s="5">
        <v>0.93</v>
      </c>
      <c r="H367" s="4">
        <v>0</v>
      </c>
    </row>
    <row r="368" spans="1:8" x14ac:dyDescent="0.2">
      <c r="A368" s="2" t="s">
        <v>88</v>
      </c>
      <c r="B368" s="4">
        <v>139</v>
      </c>
      <c r="C368" s="5">
        <v>5.7</v>
      </c>
      <c r="D368" s="4">
        <v>80</v>
      </c>
      <c r="E368" s="5">
        <v>6.98</v>
      </c>
      <c r="F368" s="4">
        <v>58</v>
      </c>
      <c r="G368" s="5">
        <v>4.49</v>
      </c>
      <c r="H368" s="4">
        <v>1</v>
      </c>
    </row>
    <row r="369" spans="1:8" x14ac:dyDescent="0.2">
      <c r="A369" s="2" t="s">
        <v>89</v>
      </c>
      <c r="B369" s="4">
        <v>92</v>
      </c>
      <c r="C369" s="5">
        <v>3.77</v>
      </c>
      <c r="D369" s="4">
        <v>23</v>
      </c>
      <c r="E369" s="5">
        <v>2.0099999999999998</v>
      </c>
      <c r="F369" s="4">
        <v>69</v>
      </c>
      <c r="G369" s="5">
        <v>5.34</v>
      </c>
      <c r="H369" s="4">
        <v>0</v>
      </c>
    </row>
    <row r="370" spans="1:8" x14ac:dyDescent="0.2">
      <c r="A370" s="1" t="s">
        <v>23</v>
      </c>
      <c r="B370" s="4">
        <v>4630</v>
      </c>
      <c r="C370" s="5">
        <v>100.00000000000001</v>
      </c>
      <c r="D370" s="4">
        <v>2255</v>
      </c>
      <c r="E370" s="5">
        <v>99.98</v>
      </c>
      <c r="F370" s="4">
        <v>2369</v>
      </c>
      <c r="G370" s="5">
        <v>100.01000000000002</v>
      </c>
      <c r="H370" s="4">
        <v>5</v>
      </c>
    </row>
    <row r="371" spans="1:8" x14ac:dyDescent="0.2">
      <c r="A371" s="2" t="s">
        <v>75</v>
      </c>
      <c r="B371" s="4">
        <v>0</v>
      </c>
      <c r="C371" s="5">
        <v>0</v>
      </c>
      <c r="D371" s="4">
        <v>0</v>
      </c>
      <c r="E371" s="5">
        <v>0</v>
      </c>
      <c r="F371" s="4">
        <v>0</v>
      </c>
      <c r="G371" s="5">
        <v>0</v>
      </c>
      <c r="H371" s="4">
        <v>0</v>
      </c>
    </row>
    <row r="372" spans="1:8" x14ac:dyDescent="0.2">
      <c r="A372" s="2" t="s">
        <v>76</v>
      </c>
      <c r="B372" s="4">
        <v>492</v>
      </c>
      <c r="C372" s="5">
        <v>10.63</v>
      </c>
      <c r="D372" s="4">
        <v>93</v>
      </c>
      <c r="E372" s="5">
        <v>4.12</v>
      </c>
      <c r="F372" s="4">
        <v>398</v>
      </c>
      <c r="G372" s="5">
        <v>16.8</v>
      </c>
      <c r="H372" s="4">
        <v>1</v>
      </c>
    </row>
    <row r="373" spans="1:8" x14ac:dyDescent="0.2">
      <c r="A373" s="2" t="s">
        <v>77</v>
      </c>
      <c r="B373" s="4">
        <v>1177</v>
      </c>
      <c r="C373" s="5">
        <v>25.42</v>
      </c>
      <c r="D373" s="4">
        <v>498</v>
      </c>
      <c r="E373" s="5">
        <v>22.08</v>
      </c>
      <c r="F373" s="4">
        <v>679</v>
      </c>
      <c r="G373" s="5">
        <v>28.66</v>
      </c>
      <c r="H373" s="4">
        <v>0</v>
      </c>
    </row>
    <row r="374" spans="1:8" x14ac:dyDescent="0.2">
      <c r="A374" s="2" t="s">
        <v>78</v>
      </c>
      <c r="B374" s="4">
        <v>0</v>
      </c>
      <c r="C374" s="5">
        <v>0</v>
      </c>
      <c r="D374" s="4">
        <v>0</v>
      </c>
      <c r="E374" s="5">
        <v>0</v>
      </c>
      <c r="F374" s="4">
        <v>0</v>
      </c>
      <c r="G374" s="5">
        <v>0</v>
      </c>
      <c r="H374" s="4">
        <v>0</v>
      </c>
    </row>
    <row r="375" spans="1:8" x14ac:dyDescent="0.2">
      <c r="A375" s="2" t="s">
        <v>79</v>
      </c>
      <c r="B375" s="4">
        <v>26</v>
      </c>
      <c r="C375" s="5">
        <v>0.56000000000000005</v>
      </c>
      <c r="D375" s="4">
        <v>1</v>
      </c>
      <c r="E375" s="5">
        <v>0.04</v>
      </c>
      <c r="F375" s="4">
        <v>25</v>
      </c>
      <c r="G375" s="5">
        <v>1.06</v>
      </c>
      <c r="H375" s="4">
        <v>0</v>
      </c>
    </row>
    <row r="376" spans="1:8" x14ac:dyDescent="0.2">
      <c r="A376" s="2" t="s">
        <v>80</v>
      </c>
      <c r="B376" s="4">
        <v>38</v>
      </c>
      <c r="C376" s="5">
        <v>0.82</v>
      </c>
      <c r="D376" s="4">
        <v>13</v>
      </c>
      <c r="E376" s="5">
        <v>0.57999999999999996</v>
      </c>
      <c r="F376" s="4">
        <v>25</v>
      </c>
      <c r="G376" s="5">
        <v>1.06</v>
      </c>
      <c r="H376" s="4">
        <v>0</v>
      </c>
    </row>
    <row r="377" spans="1:8" x14ac:dyDescent="0.2">
      <c r="A377" s="2" t="s">
        <v>81</v>
      </c>
      <c r="B377" s="4">
        <v>876</v>
      </c>
      <c r="C377" s="5">
        <v>18.920000000000002</v>
      </c>
      <c r="D377" s="4">
        <v>494</v>
      </c>
      <c r="E377" s="5">
        <v>21.91</v>
      </c>
      <c r="F377" s="4">
        <v>381</v>
      </c>
      <c r="G377" s="5">
        <v>16.079999999999998</v>
      </c>
      <c r="H377" s="4">
        <v>1</v>
      </c>
    </row>
    <row r="378" spans="1:8" x14ac:dyDescent="0.2">
      <c r="A378" s="2" t="s">
        <v>82</v>
      </c>
      <c r="B378" s="4">
        <v>8</v>
      </c>
      <c r="C378" s="5">
        <v>0.17</v>
      </c>
      <c r="D378" s="4">
        <v>0</v>
      </c>
      <c r="E378" s="5">
        <v>0</v>
      </c>
      <c r="F378" s="4">
        <v>8</v>
      </c>
      <c r="G378" s="5">
        <v>0.34</v>
      </c>
      <c r="H378" s="4">
        <v>0</v>
      </c>
    </row>
    <row r="379" spans="1:8" x14ac:dyDescent="0.2">
      <c r="A379" s="2" t="s">
        <v>83</v>
      </c>
      <c r="B379" s="4">
        <v>616</v>
      </c>
      <c r="C379" s="5">
        <v>13.3</v>
      </c>
      <c r="D379" s="4">
        <v>125</v>
      </c>
      <c r="E379" s="5">
        <v>5.54</v>
      </c>
      <c r="F379" s="4">
        <v>490</v>
      </c>
      <c r="G379" s="5">
        <v>20.68</v>
      </c>
      <c r="H379" s="4">
        <v>1</v>
      </c>
    </row>
    <row r="380" spans="1:8" x14ac:dyDescent="0.2">
      <c r="A380" s="2" t="s">
        <v>84</v>
      </c>
      <c r="B380" s="4">
        <v>111</v>
      </c>
      <c r="C380" s="5">
        <v>2.4</v>
      </c>
      <c r="D380" s="4">
        <v>49</v>
      </c>
      <c r="E380" s="5">
        <v>2.17</v>
      </c>
      <c r="F380" s="4">
        <v>62</v>
      </c>
      <c r="G380" s="5">
        <v>2.62</v>
      </c>
      <c r="H380" s="4">
        <v>0</v>
      </c>
    </row>
    <row r="381" spans="1:8" x14ac:dyDescent="0.2">
      <c r="A381" s="2" t="s">
        <v>85</v>
      </c>
      <c r="B381" s="4">
        <v>463</v>
      </c>
      <c r="C381" s="5">
        <v>10</v>
      </c>
      <c r="D381" s="4">
        <v>420</v>
      </c>
      <c r="E381" s="5">
        <v>18.63</v>
      </c>
      <c r="F381" s="4">
        <v>43</v>
      </c>
      <c r="G381" s="5">
        <v>1.82</v>
      </c>
      <c r="H381" s="4">
        <v>0</v>
      </c>
    </row>
    <row r="382" spans="1:8" x14ac:dyDescent="0.2">
      <c r="A382" s="2" t="s">
        <v>86</v>
      </c>
      <c r="B382" s="4">
        <v>355</v>
      </c>
      <c r="C382" s="5">
        <v>7.67</v>
      </c>
      <c r="D382" s="4">
        <v>286</v>
      </c>
      <c r="E382" s="5">
        <v>12.68</v>
      </c>
      <c r="F382" s="4">
        <v>69</v>
      </c>
      <c r="G382" s="5">
        <v>2.91</v>
      </c>
      <c r="H382" s="4">
        <v>0</v>
      </c>
    </row>
    <row r="383" spans="1:8" x14ac:dyDescent="0.2">
      <c r="A383" s="2" t="s">
        <v>87</v>
      </c>
      <c r="B383" s="4">
        <v>77</v>
      </c>
      <c r="C383" s="5">
        <v>1.66</v>
      </c>
      <c r="D383" s="4">
        <v>54</v>
      </c>
      <c r="E383" s="5">
        <v>2.39</v>
      </c>
      <c r="F383" s="4">
        <v>22</v>
      </c>
      <c r="G383" s="5">
        <v>0.93</v>
      </c>
      <c r="H383" s="4">
        <v>0</v>
      </c>
    </row>
    <row r="384" spans="1:8" x14ac:dyDescent="0.2">
      <c r="A384" s="2" t="s">
        <v>88</v>
      </c>
      <c r="B384" s="4">
        <v>275</v>
      </c>
      <c r="C384" s="5">
        <v>5.94</v>
      </c>
      <c r="D384" s="4">
        <v>175</v>
      </c>
      <c r="E384" s="5">
        <v>7.76</v>
      </c>
      <c r="F384" s="4">
        <v>99</v>
      </c>
      <c r="G384" s="5">
        <v>4.18</v>
      </c>
      <c r="H384" s="4">
        <v>1</v>
      </c>
    </row>
    <row r="385" spans="1:8" x14ac:dyDescent="0.2">
      <c r="A385" s="2" t="s">
        <v>89</v>
      </c>
      <c r="B385" s="4">
        <v>116</v>
      </c>
      <c r="C385" s="5">
        <v>2.5099999999999998</v>
      </c>
      <c r="D385" s="4">
        <v>47</v>
      </c>
      <c r="E385" s="5">
        <v>2.08</v>
      </c>
      <c r="F385" s="4">
        <v>68</v>
      </c>
      <c r="G385" s="5">
        <v>2.87</v>
      </c>
      <c r="H385" s="4">
        <v>1</v>
      </c>
    </row>
    <row r="386" spans="1:8" x14ac:dyDescent="0.2">
      <c r="A386" s="1" t="s">
        <v>24</v>
      </c>
      <c r="B386" s="4">
        <v>13368</v>
      </c>
      <c r="C386" s="5">
        <v>99.990000000000009</v>
      </c>
      <c r="D386" s="4">
        <v>5275</v>
      </c>
      <c r="E386" s="5">
        <v>100</v>
      </c>
      <c r="F386" s="4">
        <v>8064</v>
      </c>
      <c r="G386" s="5">
        <v>100.01</v>
      </c>
      <c r="H386" s="4">
        <v>25</v>
      </c>
    </row>
    <row r="387" spans="1:8" x14ac:dyDescent="0.2">
      <c r="A387" s="2" t="s">
        <v>75</v>
      </c>
      <c r="B387" s="4">
        <v>0</v>
      </c>
      <c r="C387" s="5">
        <v>0</v>
      </c>
      <c r="D387" s="4">
        <v>0</v>
      </c>
      <c r="E387" s="5">
        <v>0</v>
      </c>
      <c r="F387" s="4">
        <v>0</v>
      </c>
      <c r="G387" s="5">
        <v>0</v>
      </c>
      <c r="H387" s="4">
        <v>0</v>
      </c>
    </row>
    <row r="388" spans="1:8" x14ac:dyDescent="0.2">
      <c r="A388" s="2" t="s">
        <v>76</v>
      </c>
      <c r="B388" s="4">
        <v>537</v>
      </c>
      <c r="C388" s="5">
        <v>4.0199999999999996</v>
      </c>
      <c r="D388" s="4">
        <v>39</v>
      </c>
      <c r="E388" s="5">
        <v>0.74</v>
      </c>
      <c r="F388" s="4">
        <v>498</v>
      </c>
      <c r="G388" s="5">
        <v>6.18</v>
      </c>
      <c r="H388" s="4">
        <v>0</v>
      </c>
    </row>
    <row r="389" spans="1:8" x14ac:dyDescent="0.2">
      <c r="A389" s="2" t="s">
        <v>77</v>
      </c>
      <c r="B389" s="4">
        <v>545</v>
      </c>
      <c r="C389" s="5">
        <v>4.08</v>
      </c>
      <c r="D389" s="4">
        <v>104</v>
      </c>
      <c r="E389" s="5">
        <v>1.97</v>
      </c>
      <c r="F389" s="4">
        <v>441</v>
      </c>
      <c r="G389" s="5">
        <v>5.47</v>
      </c>
      <c r="H389" s="4">
        <v>0</v>
      </c>
    </row>
    <row r="390" spans="1:8" x14ac:dyDescent="0.2">
      <c r="A390" s="2" t="s">
        <v>78</v>
      </c>
      <c r="B390" s="4">
        <v>12</v>
      </c>
      <c r="C390" s="5">
        <v>0.09</v>
      </c>
      <c r="D390" s="4">
        <v>0</v>
      </c>
      <c r="E390" s="5">
        <v>0</v>
      </c>
      <c r="F390" s="4">
        <v>12</v>
      </c>
      <c r="G390" s="5">
        <v>0.15</v>
      </c>
      <c r="H390" s="4">
        <v>0</v>
      </c>
    </row>
    <row r="391" spans="1:8" x14ac:dyDescent="0.2">
      <c r="A391" s="2" t="s">
        <v>79</v>
      </c>
      <c r="B391" s="4">
        <v>689</v>
      </c>
      <c r="C391" s="5">
        <v>5.15</v>
      </c>
      <c r="D391" s="4">
        <v>38</v>
      </c>
      <c r="E391" s="5">
        <v>0.72</v>
      </c>
      <c r="F391" s="4">
        <v>651</v>
      </c>
      <c r="G391" s="5">
        <v>8.07</v>
      </c>
      <c r="H391" s="4">
        <v>0</v>
      </c>
    </row>
    <row r="392" spans="1:8" x14ac:dyDescent="0.2">
      <c r="A392" s="2" t="s">
        <v>80</v>
      </c>
      <c r="B392" s="4">
        <v>86</v>
      </c>
      <c r="C392" s="5">
        <v>0.64</v>
      </c>
      <c r="D392" s="4">
        <v>2</v>
      </c>
      <c r="E392" s="5">
        <v>0.04</v>
      </c>
      <c r="F392" s="4">
        <v>84</v>
      </c>
      <c r="G392" s="5">
        <v>1.04</v>
      </c>
      <c r="H392" s="4">
        <v>0</v>
      </c>
    </row>
    <row r="393" spans="1:8" x14ac:dyDescent="0.2">
      <c r="A393" s="2" t="s">
        <v>81</v>
      </c>
      <c r="B393" s="4">
        <v>2562</v>
      </c>
      <c r="C393" s="5">
        <v>19.170000000000002</v>
      </c>
      <c r="D393" s="4">
        <v>532</v>
      </c>
      <c r="E393" s="5">
        <v>10.09</v>
      </c>
      <c r="F393" s="4">
        <v>2029</v>
      </c>
      <c r="G393" s="5">
        <v>25.16</v>
      </c>
      <c r="H393" s="4">
        <v>1</v>
      </c>
    </row>
    <row r="394" spans="1:8" x14ac:dyDescent="0.2">
      <c r="A394" s="2" t="s">
        <v>82</v>
      </c>
      <c r="B394" s="4">
        <v>106</v>
      </c>
      <c r="C394" s="5">
        <v>0.79</v>
      </c>
      <c r="D394" s="4">
        <v>9</v>
      </c>
      <c r="E394" s="5">
        <v>0.17</v>
      </c>
      <c r="F394" s="4">
        <v>97</v>
      </c>
      <c r="G394" s="5">
        <v>1.2</v>
      </c>
      <c r="H394" s="4">
        <v>0</v>
      </c>
    </row>
    <row r="395" spans="1:8" x14ac:dyDescent="0.2">
      <c r="A395" s="2" t="s">
        <v>83</v>
      </c>
      <c r="B395" s="4">
        <v>1551</v>
      </c>
      <c r="C395" s="5">
        <v>11.6</v>
      </c>
      <c r="D395" s="4">
        <v>281</v>
      </c>
      <c r="E395" s="5">
        <v>5.33</v>
      </c>
      <c r="F395" s="4">
        <v>1270</v>
      </c>
      <c r="G395" s="5">
        <v>15.75</v>
      </c>
      <c r="H395" s="4">
        <v>0</v>
      </c>
    </row>
    <row r="396" spans="1:8" x14ac:dyDescent="0.2">
      <c r="A396" s="2" t="s">
        <v>84</v>
      </c>
      <c r="B396" s="4">
        <v>2782</v>
      </c>
      <c r="C396" s="5">
        <v>20.81</v>
      </c>
      <c r="D396" s="4">
        <v>1679</v>
      </c>
      <c r="E396" s="5">
        <v>31.83</v>
      </c>
      <c r="F396" s="4">
        <v>1094</v>
      </c>
      <c r="G396" s="5">
        <v>13.57</v>
      </c>
      <c r="H396" s="4">
        <v>8</v>
      </c>
    </row>
    <row r="397" spans="1:8" x14ac:dyDescent="0.2">
      <c r="A397" s="2" t="s">
        <v>85</v>
      </c>
      <c r="B397" s="4">
        <v>2480</v>
      </c>
      <c r="C397" s="5">
        <v>18.55</v>
      </c>
      <c r="D397" s="4">
        <v>1833</v>
      </c>
      <c r="E397" s="5">
        <v>34.75</v>
      </c>
      <c r="F397" s="4">
        <v>645</v>
      </c>
      <c r="G397" s="5">
        <v>8</v>
      </c>
      <c r="H397" s="4">
        <v>2</v>
      </c>
    </row>
    <row r="398" spans="1:8" x14ac:dyDescent="0.2">
      <c r="A398" s="2" t="s">
        <v>86</v>
      </c>
      <c r="B398" s="4">
        <v>789</v>
      </c>
      <c r="C398" s="5">
        <v>5.9</v>
      </c>
      <c r="D398" s="4">
        <v>379</v>
      </c>
      <c r="E398" s="5">
        <v>7.18</v>
      </c>
      <c r="F398" s="4">
        <v>408</v>
      </c>
      <c r="G398" s="5">
        <v>5.0599999999999996</v>
      </c>
      <c r="H398" s="4">
        <v>2</v>
      </c>
    </row>
    <row r="399" spans="1:8" x14ac:dyDescent="0.2">
      <c r="A399" s="2" t="s">
        <v>87</v>
      </c>
      <c r="B399" s="4">
        <v>281</v>
      </c>
      <c r="C399" s="5">
        <v>2.1</v>
      </c>
      <c r="D399" s="4">
        <v>102</v>
      </c>
      <c r="E399" s="5">
        <v>1.93</v>
      </c>
      <c r="F399" s="4">
        <v>176</v>
      </c>
      <c r="G399" s="5">
        <v>2.1800000000000002</v>
      </c>
      <c r="H399" s="4">
        <v>2</v>
      </c>
    </row>
    <row r="400" spans="1:8" x14ac:dyDescent="0.2">
      <c r="A400" s="2" t="s">
        <v>88</v>
      </c>
      <c r="B400" s="4">
        <v>408</v>
      </c>
      <c r="C400" s="5">
        <v>3.05</v>
      </c>
      <c r="D400" s="4">
        <v>241</v>
      </c>
      <c r="E400" s="5">
        <v>4.57</v>
      </c>
      <c r="F400" s="4">
        <v>165</v>
      </c>
      <c r="G400" s="5">
        <v>2.0499999999999998</v>
      </c>
      <c r="H400" s="4">
        <v>2</v>
      </c>
    </row>
    <row r="401" spans="1:8" x14ac:dyDescent="0.2">
      <c r="A401" s="2" t="s">
        <v>89</v>
      </c>
      <c r="B401" s="4">
        <v>540</v>
      </c>
      <c r="C401" s="5">
        <v>4.04</v>
      </c>
      <c r="D401" s="4">
        <v>36</v>
      </c>
      <c r="E401" s="5">
        <v>0.68</v>
      </c>
      <c r="F401" s="4">
        <v>494</v>
      </c>
      <c r="G401" s="5">
        <v>6.13</v>
      </c>
      <c r="H401" s="4">
        <v>8</v>
      </c>
    </row>
    <row r="402" spans="1:8" x14ac:dyDescent="0.2">
      <c r="A402" s="1" t="s">
        <v>25</v>
      </c>
      <c r="B402" s="4">
        <v>15869</v>
      </c>
      <c r="C402" s="5">
        <v>100.01</v>
      </c>
      <c r="D402" s="4">
        <v>5384</v>
      </c>
      <c r="E402" s="5">
        <v>100.00999999999999</v>
      </c>
      <c r="F402" s="4">
        <v>10443</v>
      </c>
      <c r="G402" s="5">
        <v>99.99</v>
      </c>
      <c r="H402" s="4">
        <v>38</v>
      </c>
    </row>
    <row r="403" spans="1:8" x14ac:dyDescent="0.2">
      <c r="A403" s="2" t="s">
        <v>75</v>
      </c>
      <c r="B403" s="4">
        <v>0</v>
      </c>
      <c r="C403" s="5">
        <v>0</v>
      </c>
      <c r="D403" s="4">
        <v>0</v>
      </c>
      <c r="E403" s="5">
        <v>0</v>
      </c>
      <c r="F403" s="4">
        <v>0</v>
      </c>
      <c r="G403" s="5">
        <v>0</v>
      </c>
      <c r="H403" s="4">
        <v>0</v>
      </c>
    </row>
    <row r="404" spans="1:8" x14ac:dyDescent="0.2">
      <c r="A404" s="2" t="s">
        <v>76</v>
      </c>
      <c r="B404" s="4">
        <v>534</v>
      </c>
      <c r="C404" s="5">
        <v>3.37</v>
      </c>
      <c r="D404" s="4">
        <v>13</v>
      </c>
      <c r="E404" s="5">
        <v>0.24</v>
      </c>
      <c r="F404" s="4">
        <v>521</v>
      </c>
      <c r="G404" s="5">
        <v>4.99</v>
      </c>
      <c r="H404" s="4">
        <v>0</v>
      </c>
    </row>
    <row r="405" spans="1:8" x14ac:dyDescent="0.2">
      <c r="A405" s="2" t="s">
        <v>77</v>
      </c>
      <c r="B405" s="4">
        <v>752</v>
      </c>
      <c r="C405" s="5">
        <v>4.74</v>
      </c>
      <c r="D405" s="4">
        <v>133</v>
      </c>
      <c r="E405" s="5">
        <v>2.4700000000000002</v>
      </c>
      <c r="F405" s="4">
        <v>619</v>
      </c>
      <c r="G405" s="5">
        <v>5.93</v>
      </c>
      <c r="H405" s="4">
        <v>0</v>
      </c>
    </row>
    <row r="406" spans="1:8" x14ac:dyDescent="0.2">
      <c r="A406" s="2" t="s">
        <v>78</v>
      </c>
      <c r="B406" s="4">
        <v>15</v>
      </c>
      <c r="C406" s="5">
        <v>0.09</v>
      </c>
      <c r="D406" s="4">
        <v>0</v>
      </c>
      <c r="E406" s="5">
        <v>0</v>
      </c>
      <c r="F406" s="4">
        <v>15</v>
      </c>
      <c r="G406" s="5">
        <v>0.14000000000000001</v>
      </c>
      <c r="H406" s="4">
        <v>0</v>
      </c>
    </row>
    <row r="407" spans="1:8" x14ac:dyDescent="0.2">
      <c r="A407" s="2" t="s">
        <v>79</v>
      </c>
      <c r="B407" s="4">
        <v>601</v>
      </c>
      <c r="C407" s="5">
        <v>3.79</v>
      </c>
      <c r="D407" s="4">
        <v>43</v>
      </c>
      <c r="E407" s="5">
        <v>0.8</v>
      </c>
      <c r="F407" s="4">
        <v>555</v>
      </c>
      <c r="G407" s="5">
        <v>5.31</v>
      </c>
      <c r="H407" s="4">
        <v>3</v>
      </c>
    </row>
    <row r="408" spans="1:8" x14ac:dyDescent="0.2">
      <c r="A408" s="2" t="s">
        <v>80</v>
      </c>
      <c r="B408" s="4">
        <v>141</v>
      </c>
      <c r="C408" s="5">
        <v>0.89</v>
      </c>
      <c r="D408" s="4">
        <v>7</v>
      </c>
      <c r="E408" s="5">
        <v>0.13</v>
      </c>
      <c r="F408" s="4">
        <v>133</v>
      </c>
      <c r="G408" s="5">
        <v>1.27</v>
      </c>
      <c r="H408" s="4">
        <v>1</v>
      </c>
    </row>
    <row r="409" spans="1:8" x14ac:dyDescent="0.2">
      <c r="A409" s="2" t="s">
        <v>81</v>
      </c>
      <c r="B409" s="4">
        <v>4354</v>
      </c>
      <c r="C409" s="5">
        <v>27.44</v>
      </c>
      <c r="D409" s="4">
        <v>787</v>
      </c>
      <c r="E409" s="5">
        <v>14.62</v>
      </c>
      <c r="F409" s="4">
        <v>3566</v>
      </c>
      <c r="G409" s="5">
        <v>34.15</v>
      </c>
      <c r="H409" s="4">
        <v>1</v>
      </c>
    </row>
    <row r="410" spans="1:8" x14ac:dyDescent="0.2">
      <c r="A410" s="2" t="s">
        <v>82</v>
      </c>
      <c r="B410" s="4">
        <v>191</v>
      </c>
      <c r="C410" s="5">
        <v>1.2</v>
      </c>
      <c r="D410" s="4">
        <v>9</v>
      </c>
      <c r="E410" s="5">
        <v>0.17</v>
      </c>
      <c r="F410" s="4">
        <v>182</v>
      </c>
      <c r="G410" s="5">
        <v>1.74</v>
      </c>
      <c r="H410" s="4">
        <v>0</v>
      </c>
    </row>
    <row r="411" spans="1:8" x14ac:dyDescent="0.2">
      <c r="A411" s="2" t="s">
        <v>83</v>
      </c>
      <c r="B411" s="4">
        <v>1937</v>
      </c>
      <c r="C411" s="5">
        <v>12.21</v>
      </c>
      <c r="D411" s="4">
        <v>176</v>
      </c>
      <c r="E411" s="5">
        <v>3.27</v>
      </c>
      <c r="F411" s="4">
        <v>1759</v>
      </c>
      <c r="G411" s="5">
        <v>16.84</v>
      </c>
      <c r="H411" s="4">
        <v>2</v>
      </c>
    </row>
    <row r="412" spans="1:8" x14ac:dyDescent="0.2">
      <c r="A412" s="2" t="s">
        <v>84</v>
      </c>
      <c r="B412" s="4">
        <v>2972</v>
      </c>
      <c r="C412" s="5">
        <v>18.73</v>
      </c>
      <c r="D412" s="4">
        <v>1671</v>
      </c>
      <c r="E412" s="5">
        <v>31.04</v>
      </c>
      <c r="F412" s="4">
        <v>1294</v>
      </c>
      <c r="G412" s="5">
        <v>12.39</v>
      </c>
      <c r="H412" s="4">
        <v>7</v>
      </c>
    </row>
    <row r="413" spans="1:8" x14ac:dyDescent="0.2">
      <c r="A413" s="2" t="s">
        <v>85</v>
      </c>
      <c r="B413" s="4">
        <v>2154</v>
      </c>
      <c r="C413" s="5">
        <v>13.57</v>
      </c>
      <c r="D413" s="4">
        <v>1607</v>
      </c>
      <c r="E413" s="5">
        <v>29.85</v>
      </c>
      <c r="F413" s="4">
        <v>546</v>
      </c>
      <c r="G413" s="5">
        <v>5.23</v>
      </c>
      <c r="H413" s="4">
        <v>0</v>
      </c>
    </row>
    <row r="414" spans="1:8" x14ac:dyDescent="0.2">
      <c r="A414" s="2" t="s">
        <v>86</v>
      </c>
      <c r="B414" s="4">
        <v>863</v>
      </c>
      <c r="C414" s="5">
        <v>5.44</v>
      </c>
      <c r="D414" s="4">
        <v>470</v>
      </c>
      <c r="E414" s="5">
        <v>8.73</v>
      </c>
      <c r="F414" s="4">
        <v>393</v>
      </c>
      <c r="G414" s="5">
        <v>3.76</v>
      </c>
      <c r="H414" s="4">
        <v>0</v>
      </c>
    </row>
    <row r="415" spans="1:8" x14ac:dyDescent="0.2">
      <c r="A415" s="2" t="s">
        <v>87</v>
      </c>
      <c r="B415" s="4">
        <v>298</v>
      </c>
      <c r="C415" s="5">
        <v>1.88</v>
      </c>
      <c r="D415" s="4">
        <v>140</v>
      </c>
      <c r="E415" s="5">
        <v>2.6</v>
      </c>
      <c r="F415" s="4">
        <v>152</v>
      </c>
      <c r="G415" s="5">
        <v>1.46</v>
      </c>
      <c r="H415" s="4">
        <v>3</v>
      </c>
    </row>
    <row r="416" spans="1:8" x14ac:dyDescent="0.2">
      <c r="A416" s="2" t="s">
        <v>88</v>
      </c>
      <c r="B416" s="4">
        <v>434</v>
      </c>
      <c r="C416" s="5">
        <v>2.73</v>
      </c>
      <c r="D416" s="4">
        <v>263</v>
      </c>
      <c r="E416" s="5">
        <v>4.88</v>
      </c>
      <c r="F416" s="4">
        <v>164</v>
      </c>
      <c r="G416" s="5">
        <v>1.57</v>
      </c>
      <c r="H416" s="4">
        <v>7</v>
      </c>
    </row>
    <row r="417" spans="1:8" x14ac:dyDescent="0.2">
      <c r="A417" s="2" t="s">
        <v>89</v>
      </c>
      <c r="B417" s="4">
        <v>623</v>
      </c>
      <c r="C417" s="5">
        <v>3.93</v>
      </c>
      <c r="D417" s="4">
        <v>65</v>
      </c>
      <c r="E417" s="5">
        <v>1.21</v>
      </c>
      <c r="F417" s="4">
        <v>544</v>
      </c>
      <c r="G417" s="5">
        <v>5.21</v>
      </c>
      <c r="H417" s="4">
        <v>14</v>
      </c>
    </row>
    <row r="418" spans="1:8" x14ac:dyDescent="0.2">
      <c r="A418" s="1" t="s">
        <v>26</v>
      </c>
      <c r="B418" s="4">
        <v>14986</v>
      </c>
      <c r="C418" s="5">
        <v>100.00000000000001</v>
      </c>
      <c r="D418" s="4">
        <v>7347</v>
      </c>
      <c r="E418" s="5">
        <v>100.01</v>
      </c>
      <c r="F418" s="4">
        <v>7611</v>
      </c>
      <c r="G418" s="5">
        <v>100.03</v>
      </c>
      <c r="H418" s="4">
        <v>15</v>
      </c>
    </row>
    <row r="419" spans="1:8" x14ac:dyDescent="0.2">
      <c r="A419" s="2" t="s">
        <v>75</v>
      </c>
      <c r="B419" s="4">
        <v>0</v>
      </c>
      <c r="C419" s="5">
        <v>0</v>
      </c>
      <c r="D419" s="4">
        <v>0</v>
      </c>
      <c r="E419" s="5">
        <v>0</v>
      </c>
      <c r="F419" s="4">
        <v>0</v>
      </c>
      <c r="G419" s="5">
        <v>0</v>
      </c>
      <c r="H419" s="4">
        <v>0</v>
      </c>
    </row>
    <row r="420" spans="1:8" x14ac:dyDescent="0.2">
      <c r="A420" s="2" t="s">
        <v>76</v>
      </c>
      <c r="B420" s="4">
        <v>2044</v>
      </c>
      <c r="C420" s="5">
        <v>13.64</v>
      </c>
      <c r="D420" s="4">
        <v>395</v>
      </c>
      <c r="E420" s="5">
        <v>5.38</v>
      </c>
      <c r="F420" s="4">
        <v>1649</v>
      </c>
      <c r="G420" s="5">
        <v>21.67</v>
      </c>
      <c r="H420" s="4">
        <v>0</v>
      </c>
    </row>
    <row r="421" spans="1:8" x14ac:dyDescent="0.2">
      <c r="A421" s="2" t="s">
        <v>77</v>
      </c>
      <c r="B421" s="4">
        <v>1714</v>
      </c>
      <c r="C421" s="5">
        <v>11.44</v>
      </c>
      <c r="D421" s="4">
        <v>575</v>
      </c>
      <c r="E421" s="5">
        <v>7.83</v>
      </c>
      <c r="F421" s="4">
        <v>1139</v>
      </c>
      <c r="G421" s="5">
        <v>14.97</v>
      </c>
      <c r="H421" s="4">
        <v>0</v>
      </c>
    </row>
    <row r="422" spans="1:8" x14ac:dyDescent="0.2">
      <c r="A422" s="2" t="s">
        <v>78</v>
      </c>
      <c r="B422" s="4">
        <v>9</v>
      </c>
      <c r="C422" s="5">
        <v>0.06</v>
      </c>
      <c r="D422" s="4">
        <v>0</v>
      </c>
      <c r="E422" s="5">
        <v>0</v>
      </c>
      <c r="F422" s="4">
        <v>9</v>
      </c>
      <c r="G422" s="5">
        <v>0.12</v>
      </c>
      <c r="H422" s="4">
        <v>0</v>
      </c>
    </row>
    <row r="423" spans="1:8" x14ac:dyDescent="0.2">
      <c r="A423" s="2" t="s">
        <v>79</v>
      </c>
      <c r="B423" s="4">
        <v>110</v>
      </c>
      <c r="C423" s="5">
        <v>0.73</v>
      </c>
      <c r="D423" s="4">
        <v>6</v>
      </c>
      <c r="E423" s="5">
        <v>0.08</v>
      </c>
      <c r="F423" s="4">
        <v>104</v>
      </c>
      <c r="G423" s="5">
        <v>1.37</v>
      </c>
      <c r="H423" s="4">
        <v>0</v>
      </c>
    </row>
    <row r="424" spans="1:8" x14ac:dyDescent="0.2">
      <c r="A424" s="2" t="s">
        <v>80</v>
      </c>
      <c r="B424" s="4">
        <v>264</v>
      </c>
      <c r="C424" s="5">
        <v>1.76</v>
      </c>
      <c r="D424" s="4">
        <v>127</v>
      </c>
      <c r="E424" s="5">
        <v>1.73</v>
      </c>
      <c r="F424" s="4">
        <v>136</v>
      </c>
      <c r="G424" s="5">
        <v>1.79</v>
      </c>
      <c r="H424" s="4">
        <v>0</v>
      </c>
    </row>
    <row r="425" spans="1:8" x14ac:dyDescent="0.2">
      <c r="A425" s="2" t="s">
        <v>81</v>
      </c>
      <c r="B425" s="4">
        <v>2957</v>
      </c>
      <c r="C425" s="5">
        <v>19.73</v>
      </c>
      <c r="D425" s="4">
        <v>1460</v>
      </c>
      <c r="E425" s="5">
        <v>19.87</v>
      </c>
      <c r="F425" s="4">
        <v>1496</v>
      </c>
      <c r="G425" s="5">
        <v>19.66</v>
      </c>
      <c r="H425" s="4">
        <v>1</v>
      </c>
    </row>
    <row r="426" spans="1:8" x14ac:dyDescent="0.2">
      <c r="A426" s="2" t="s">
        <v>82</v>
      </c>
      <c r="B426" s="4">
        <v>88</v>
      </c>
      <c r="C426" s="5">
        <v>0.59</v>
      </c>
      <c r="D426" s="4">
        <v>13</v>
      </c>
      <c r="E426" s="5">
        <v>0.18</v>
      </c>
      <c r="F426" s="4">
        <v>75</v>
      </c>
      <c r="G426" s="5">
        <v>0.99</v>
      </c>
      <c r="H426" s="4">
        <v>0</v>
      </c>
    </row>
    <row r="427" spans="1:8" x14ac:dyDescent="0.2">
      <c r="A427" s="2" t="s">
        <v>83</v>
      </c>
      <c r="B427" s="4">
        <v>1794</v>
      </c>
      <c r="C427" s="5">
        <v>11.97</v>
      </c>
      <c r="D427" s="4">
        <v>431</v>
      </c>
      <c r="E427" s="5">
        <v>5.87</v>
      </c>
      <c r="F427" s="4">
        <v>1361</v>
      </c>
      <c r="G427" s="5">
        <v>17.88</v>
      </c>
      <c r="H427" s="4">
        <v>1</v>
      </c>
    </row>
    <row r="428" spans="1:8" x14ac:dyDescent="0.2">
      <c r="A428" s="2" t="s">
        <v>84</v>
      </c>
      <c r="B428" s="4">
        <v>683</v>
      </c>
      <c r="C428" s="5">
        <v>4.5599999999999996</v>
      </c>
      <c r="D428" s="4">
        <v>351</v>
      </c>
      <c r="E428" s="5">
        <v>4.78</v>
      </c>
      <c r="F428" s="4">
        <v>326</v>
      </c>
      <c r="G428" s="5">
        <v>4.28</v>
      </c>
      <c r="H428" s="4">
        <v>4</v>
      </c>
    </row>
    <row r="429" spans="1:8" x14ac:dyDescent="0.2">
      <c r="A429" s="2" t="s">
        <v>85</v>
      </c>
      <c r="B429" s="4">
        <v>1756</v>
      </c>
      <c r="C429" s="5">
        <v>11.72</v>
      </c>
      <c r="D429" s="4">
        <v>1523</v>
      </c>
      <c r="E429" s="5">
        <v>20.73</v>
      </c>
      <c r="F429" s="4">
        <v>231</v>
      </c>
      <c r="G429" s="5">
        <v>3.04</v>
      </c>
      <c r="H429" s="4">
        <v>1</v>
      </c>
    </row>
    <row r="430" spans="1:8" x14ac:dyDescent="0.2">
      <c r="A430" s="2" t="s">
        <v>86</v>
      </c>
      <c r="B430" s="4">
        <v>1659</v>
      </c>
      <c r="C430" s="5">
        <v>11.07</v>
      </c>
      <c r="D430" s="4">
        <v>1333</v>
      </c>
      <c r="E430" s="5">
        <v>18.14</v>
      </c>
      <c r="F430" s="4">
        <v>325</v>
      </c>
      <c r="G430" s="5">
        <v>4.2699999999999996</v>
      </c>
      <c r="H430" s="4">
        <v>1</v>
      </c>
    </row>
    <row r="431" spans="1:8" x14ac:dyDescent="0.2">
      <c r="A431" s="2" t="s">
        <v>87</v>
      </c>
      <c r="B431" s="4">
        <v>499</v>
      </c>
      <c r="C431" s="5">
        <v>3.33</v>
      </c>
      <c r="D431" s="4">
        <v>366</v>
      </c>
      <c r="E431" s="5">
        <v>4.9800000000000004</v>
      </c>
      <c r="F431" s="4">
        <v>130</v>
      </c>
      <c r="G431" s="5">
        <v>1.71</v>
      </c>
      <c r="H431" s="4">
        <v>1</v>
      </c>
    </row>
    <row r="432" spans="1:8" x14ac:dyDescent="0.2">
      <c r="A432" s="2" t="s">
        <v>88</v>
      </c>
      <c r="B432" s="4">
        <v>916</v>
      </c>
      <c r="C432" s="5">
        <v>6.11</v>
      </c>
      <c r="D432" s="4">
        <v>577</v>
      </c>
      <c r="E432" s="5">
        <v>7.85</v>
      </c>
      <c r="F432" s="4">
        <v>333</v>
      </c>
      <c r="G432" s="5">
        <v>4.38</v>
      </c>
      <c r="H432" s="4">
        <v>1</v>
      </c>
    </row>
    <row r="433" spans="1:8" x14ac:dyDescent="0.2">
      <c r="A433" s="2" t="s">
        <v>89</v>
      </c>
      <c r="B433" s="4">
        <v>493</v>
      </c>
      <c r="C433" s="5">
        <v>3.29</v>
      </c>
      <c r="D433" s="4">
        <v>190</v>
      </c>
      <c r="E433" s="5">
        <v>2.59</v>
      </c>
      <c r="F433" s="4">
        <v>297</v>
      </c>
      <c r="G433" s="5">
        <v>3.9</v>
      </c>
      <c r="H433" s="4">
        <v>5</v>
      </c>
    </row>
    <row r="434" spans="1:8" x14ac:dyDescent="0.2">
      <c r="A434" s="1" t="s">
        <v>27</v>
      </c>
      <c r="B434" s="4">
        <v>4016</v>
      </c>
      <c r="C434" s="5">
        <v>100</v>
      </c>
      <c r="D434" s="4">
        <v>2027</v>
      </c>
      <c r="E434" s="5">
        <v>99.990000000000009</v>
      </c>
      <c r="F434" s="4">
        <v>1973</v>
      </c>
      <c r="G434" s="5">
        <v>99.999999999999986</v>
      </c>
      <c r="H434" s="4">
        <v>10</v>
      </c>
    </row>
    <row r="435" spans="1:8" x14ac:dyDescent="0.2">
      <c r="A435" s="2" t="s">
        <v>75</v>
      </c>
      <c r="B435" s="4">
        <v>0</v>
      </c>
      <c r="C435" s="5">
        <v>0</v>
      </c>
      <c r="D435" s="4">
        <v>0</v>
      </c>
      <c r="E435" s="5">
        <v>0</v>
      </c>
      <c r="F435" s="4">
        <v>0</v>
      </c>
      <c r="G435" s="5">
        <v>0</v>
      </c>
      <c r="H435" s="4">
        <v>0</v>
      </c>
    </row>
    <row r="436" spans="1:8" x14ac:dyDescent="0.2">
      <c r="A436" s="2" t="s">
        <v>76</v>
      </c>
      <c r="B436" s="4">
        <v>377</v>
      </c>
      <c r="C436" s="5">
        <v>9.39</v>
      </c>
      <c r="D436" s="4">
        <v>71</v>
      </c>
      <c r="E436" s="5">
        <v>3.5</v>
      </c>
      <c r="F436" s="4">
        <v>306</v>
      </c>
      <c r="G436" s="5">
        <v>15.51</v>
      </c>
      <c r="H436" s="4">
        <v>0</v>
      </c>
    </row>
    <row r="437" spans="1:8" x14ac:dyDescent="0.2">
      <c r="A437" s="2" t="s">
        <v>77</v>
      </c>
      <c r="B437" s="4">
        <v>446</v>
      </c>
      <c r="C437" s="5">
        <v>11.11</v>
      </c>
      <c r="D437" s="4">
        <v>141</v>
      </c>
      <c r="E437" s="5">
        <v>6.96</v>
      </c>
      <c r="F437" s="4">
        <v>305</v>
      </c>
      <c r="G437" s="5">
        <v>15.46</v>
      </c>
      <c r="H437" s="4">
        <v>0</v>
      </c>
    </row>
    <row r="438" spans="1:8" x14ac:dyDescent="0.2">
      <c r="A438" s="2" t="s">
        <v>78</v>
      </c>
      <c r="B438" s="4">
        <v>3</v>
      </c>
      <c r="C438" s="5">
        <v>7.0000000000000007E-2</v>
      </c>
      <c r="D438" s="4">
        <v>0</v>
      </c>
      <c r="E438" s="5">
        <v>0</v>
      </c>
      <c r="F438" s="4">
        <v>3</v>
      </c>
      <c r="G438" s="5">
        <v>0.15</v>
      </c>
      <c r="H438" s="4">
        <v>0</v>
      </c>
    </row>
    <row r="439" spans="1:8" x14ac:dyDescent="0.2">
      <c r="A439" s="2" t="s">
        <v>79</v>
      </c>
      <c r="B439" s="4">
        <v>32</v>
      </c>
      <c r="C439" s="5">
        <v>0.8</v>
      </c>
      <c r="D439" s="4">
        <v>2</v>
      </c>
      <c r="E439" s="5">
        <v>0.1</v>
      </c>
      <c r="F439" s="4">
        <v>30</v>
      </c>
      <c r="G439" s="5">
        <v>1.52</v>
      </c>
      <c r="H439" s="4">
        <v>0</v>
      </c>
    </row>
    <row r="440" spans="1:8" x14ac:dyDescent="0.2">
      <c r="A440" s="2" t="s">
        <v>80</v>
      </c>
      <c r="B440" s="4">
        <v>67</v>
      </c>
      <c r="C440" s="5">
        <v>1.67</v>
      </c>
      <c r="D440" s="4">
        <v>23</v>
      </c>
      <c r="E440" s="5">
        <v>1.1299999999999999</v>
      </c>
      <c r="F440" s="4">
        <v>44</v>
      </c>
      <c r="G440" s="5">
        <v>2.23</v>
      </c>
      <c r="H440" s="4">
        <v>0</v>
      </c>
    </row>
    <row r="441" spans="1:8" x14ac:dyDescent="0.2">
      <c r="A441" s="2" t="s">
        <v>81</v>
      </c>
      <c r="B441" s="4">
        <v>880</v>
      </c>
      <c r="C441" s="5">
        <v>21.91</v>
      </c>
      <c r="D441" s="4">
        <v>416</v>
      </c>
      <c r="E441" s="5">
        <v>20.52</v>
      </c>
      <c r="F441" s="4">
        <v>463</v>
      </c>
      <c r="G441" s="5">
        <v>23.47</v>
      </c>
      <c r="H441" s="4">
        <v>1</v>
      </c>
    </row>
    <row r="442" spans="1:8" x14ac:dyDescent="0.2">
      <c r="A442" s="2" t="s">
        <v>82</v>
      </c>
      <c r="B442" s="4">
        <v>23</v>
      </c>
      <c r="C442" s="5">
        <v>0.56999999999999995</v>
      </c>
      <c r="D442" s="4">
        <v>4</v>
      </c>
      <c r="E442" s="5">
        <v>0.2</v>
      </c>
      <c r="F442" s="4">
        <v>19</v>
      </c>
      <c r="G442" s="5">
        <v>0.96</v>
      </c>
      <c r="H442" s="4">
        <v>0</v>
      </c>
    </row>
    <row r="443" spans="1:8" x14ac:dyDescent="0.2">
      <c r="A443" s="2" t="s">
        <v>83</v>
      </c>
      <c r="B443" s="4">
        <v>406</v>
      </c>
      <c r="C443" s="5">
        <v>10.11</v>
      </c>
      <c r="D443" s="4">
        <v>73</v>
      </c>
      <c r="E443" s="5">
        <v>3.6</v>
      </c>
      <c r="F443" s="4">
        <v>331</v>
      </c>
      <c r="G443" s="5">
        <v>16.78</v>
      </c>
      <c r="H443" s="4">
        <v>1</v>
      </c>
    </row>
    <row r="444" spans="1:8" x14ac:dyDescent="0.2">
      <c r="A444" s="2" t="s">
        <v>84</v>
      </c>
      <c r="B444" s="4">
        <v>256</v>
      </c>
      <c r="C444" s="5">
        <v>6.37</v>
      </c>
      <c r="D444" s="4">
        <v>160</v>
      </c>
      <c r="E444" s="5">
        <v>7.89</v>
      </c>
      <c r="F444" s="4">
        <v>91</v>
      </c>
      <c r="G444" s="5">
        <v>4.6100000000000003</v>
      </c>
      <c r="H444" s="4">
        <v>3</v>
      </c>
    </row>
    <row r="445" spans="1:8" x14ac:dyDescent="0.2">
      <c r="A445" s="2" t="s">
        <v>85</v>
      </c>
      <c r="B445" s="4">
        <v>647</v>
      </c>
      <c r="C445" s="5">
        <v>16.11</v>
      </c>
      <c r="D445" s="4">
        <v>565</v>
      </c>
      <c r="E445" s="5">
        <v>27.87</v>
      </c>
      <c r="F445" s="4">
        <v>81</v>
      </c>
      <c r="G445" s="5">
        <v>4.1100000000000003</v>
      </c>
      <c r="H445" s="4">
        <v>1</v>
      </c>
    </row>
    <row r="446" spans="1:8" x14ac:dyDescent="0.2">
      <c r="A446" s="2" t="s">
        <v>86</v>
      </c>
      <c r="B446" s="4">
        <v>385</v>
      </c>
      <c r="C446" s="5">
        <v>9.59</v>
      </c>
      <c r="D446" s="4">
        <v>297</v>
      </c>
      <c r="E446" s="5">
        <v>14.65</v>
      </c>
      <c r="F446" s="4">
        <v>88</v>
      </c>
      <c r="G446" s="5">
        <v>4.46</v>
      </c>
      <c r="H446" s="4">
        <v>0</v>
      </c>
    </row>
    <row r="447" spans="1:8" x14ac:dyDescent="0.2">
      <c r="A447" s="2" t="s">
        <v>87</v>
      </c>
      <c r="B447" s="4">
        <v>137</v>
      </c>
      <c r="C447" s="5">
        <v>3.41</v>
      </c>
      <c r="D447" s="4">
        <v>96</v>
      </c>
      <c r="E447" s="5">
        <v>4.74</v>
      </c>
      <c r="F447" s="4">
        <v>40</v>
      </c>
      <c r="G447" s="5">
        <v>2.0299999999999998</v>
      </c>
      <c r="H447" s="4">
        <v>0</v>
      </c>
    </row>
    <row r="448" spans="1:8" x14ac:dyDescent="0.2">
      <c r="A448" s="2" t="s">
        <v>88</v>
      </c>
      <c r="B448" s="4">
        <v>247</v>
      </c>
      <c r="C448" s="5">
        <v>6.15</v>
      </c>
      <c r="D448" s="4">
        <v>153</v>
      </c>
      <c r="E448" s="5">
        <v>7.55</v>
      </c>
      <c r="F448" s="4">
        <v>92</v>
      </c>
      <c r="G448" s="5">
        <v>4.66</v>
      </c>
      <c r="H448" s="4">
        <v>1</v>
      </c>
    </row>
    <row r="449" spans="1:8" x14ac:dyDescent="0.2">
      <c r="A449" s="2" t="s">
        <v>89</v>
      </c>
      <c r="B449" s="4">
        <v>110</v>
      </c>
      <c r="C449" s="5">
        <v>2.74</v>
      </c>
      <c r="D449" s="4">
        <v>26</v>
      </c>
      <c r="E449" s="5">
        <v>1.28</v>
      </c>
      <c r="F449" s="4">
        <v>80</v>
      </c>
      <c r="G449" s="5">
        <v>4.05</v>
      </c>
      <c r="H449" s="4">
        <v>3</v>
      </c>
    </row>
    <row r="450" spans="1:8" x14ac:dyDescent="0.2">
      <c r="A450" s="1" t="s">
        <v>28</v>
      </c>
      <c r="B450" s="4">
        <v>2226</v>
      </c>
      <c r="C450" s="5">
        <v>99.999999999999986</v>
      </c>
      <c r="D450" s="4">
        <v>1136</v>
      </c>
      <c r="E450" s="5">
        <v>100.01</v>
      </c>
      <c r="F450" s="4">
        <v>1089</v>
      </c>
      <c r="G450" s="5">
        <v>100.01000000000002</v>
      </c>
      <c r="H450" s="4">
        <v>0</v>
      </c>
    </row>
    <row r="451" spans="1:8" x14ac:dyDescent="0.2">
      <c r="A451" s="2" t="s">
        <v>75</v>
      </c>
      <c r="B451" s="4">
        <v>0</v>
      </c>
      <c r="C451" s="5">
        <v>0</v>
      </c>
      <c r="D451" s="4">
        <v>0</v>
      </c>
      <c r="E451" s="5">
        <v>0</v>
      </c>
      <c r="F451" s="4">
        <v>0</v>
      </c>
      <c r="G451" s="5">
        <v>0</v>
      </c>
      <c r="H451" s="4">
        <v>0</v>
      </c>
    </row>
    <row r="452" spans="1:8" x14ac:dyDescent="0.2">
      <c r="A452" s="2" t="s">
        <v>76</v>
      </c>
      <c r="B452" s="4">
        <v>394</v>
      </c>
      <c r="C452" s="5">
        <v>17.7</v>
      </c>
      <c r="D452" s="4">
        <v>82</v>
      </c>
      <c r="E452" s="5">
        <v>7.22</v>
      </c>
      <c r="F452" s="4">
        <v>312</v>
      </c>
      <c r="G452" s="5">
        <v>28.65</v>
      </c>
      <c r="H452" s="4">
        <v>0</v>
      </c>
    </row>
    <row r="453" spans="1:8" x14ac:dyDescent="0.2">
      <c r="A453" s="2" t="s">
        <v>77</v>
      </c>
      <c r="B453" s="4">
        <v>282</v>
      </c>
      <c r="C453" s="5">
        <v>12.67</v>
      </c>
      <c r="D453" s="4">
        <v>108</v>
      </c>
      <c r="E453" s="5">
        <v>9.51</v>
      </c>
      <c r="F453" s="4">
        <v>174</v>
      </c>
      <c r="G453" s="5">
        <v>15.98</v>
      </c>
      <c r="H453" s="4">
        <v>0</v>
      </c>
    </row>
    <row r="454" spans="1:8" x14ac:dyDescent="0.2">
      <c r="A454" s="2" t="s">
        <v>78</v>
      </c>
      <c r="B454" s="4">
        <v>1</v>
      </c>
      <c r="C454" s="5">
        <v>0.04</v>
      </c>
      <c r="D454" s="4">
        <v>0</v>
      </c>
      <c r="E454" s="5">
        <v>0</v>
      </c>
      <c r="F454" s="4">
        <v>1</v>
      </c>
      <c r="G454" s="5">
        <v>0.09</v>
      </c>
      <c r="H454" s="4">
        <v>0</v>
      </c>
    </row>
    <row r="455" spans="1:8" x14ac:dyDescent="0.2">
      <c r="A455" s="2" t="s">
        <v>79</v>
      </c>
      <c r="B455" s="4">
        <v>20</v>
      </c>
      <c r="C455" s="5">
        <v>0.9</v>
      </c>
      <c r="D455" s="4">
        <v>2</v>
      </c>
      <c r="E455" s="5">
        <v>0.18</v>
      </c>
      <c r="F455" s="4">
        <v>18</v>
      </c>
      <c r="G455" s="5">
        <v>1.65</v>
      </c>
      <c r="H455" s="4">
        <v>0</v>
      </c>
    </row>
    <row r="456" spans="1:8" x14ac:dyDescent="0.2">
      <c r="A456" s="2" t="s">
        <v>80</v>
      </c>
      <c r="B456" s="4">
        <v>60</v>
      </c>
      <c r="C456" s="5">
        <v>2.7</v>
      </c>
      <c r="D456" s="4">
        <v>38</v>
      </c>
      <c r="E456" s="5">
        <v>3.35</v>
      </c>
      <c r="F456" s="4">
        <v>22</v>
      </c>
      <c r="G456" s="5">
        <v>2.02</v>
      </c>
      <c r="H456" s="4">
        <v>0</v>
      </c>
    </row>
    <row r="457" spans="1:8" x14ac:dyDescent="0.2">
      <c r="A457" s="2" t="s">
        <v>81</v>
      </c>
      <c r="B457" s="4">
        <v>400</v>
      </c>
      <c r="C457" s="5">
        <v>17.97</v>
      </c>
      <c r="D457" s="4">
        <v>222</v>
      </c>
      <c r="E457" s="5">
        <v>19.54</v>
      </c>
      <c r="F457" s="4">
        <v>178</v>
      </c>
      <c r="G457" s="5">
        <v>16.350000000000001</v>
      </c>
      <c r="H457" s="4">
        <v>0</v>
      </c>
    </row>
    <row r="458" spans="1:8" x14ac:dyDescent="0.2">
      <c r="A458" s="2" t="s">
        <v>82</v>
      </c>
      <c r="B458" s="4">
        <v>13</v>
      </c>
      <c r="C458" s="5">
        <v>0.57999999999999996</v>
      </c>
      <c r="D458" s="4">
        <v>0</v>
      </c>
      <c r="E458" s="5">
        <v>0</v>
      </c>
      <c r="F458" s="4">
        <v>13</v>
      </c>
      <c r="G458" s="5">
        <v>1.19</v>
      </c>
      <c r="H458" s="4">
        <v>0</v>
      </c>
    </row>
    <row r="459" spans="1:8" x14ac:dyDescent="0.2">
      <c r="A459" s="2" t="s">
        <v>83</v>
      </c>
      <c r="B459" s="4">
        <v>255</v>
      </c>
      <c r="C459" s="5">
        <v>11.46</v>
      </c>
      <c r="D459" s="4">
        <v>69</v>
      </c>
      <c r="E459" s="5">
        <v>6.07</v>
      </c>
      <c r="F459" s="4">
        <v>186</v>
      </c>
      <c r="G459" s="5">
        <v>17.079999999999998</v>
      </c>
      <c r="H459" s="4">
        <v>0</v>
      </c>
    </row>
    <row r="460" spans="1:8" x14ac:dyDescent="0.2">
      <c r="A460" s="2" t="s">
        <v>84</v>
      </c>
      <c r="B460" s="4">
        <v>69</v>
      </c>
      <c r="C460" s="5">
        <v>3.1</v>
      </c>
      <c r="D460" s="4">
        <v>35</v>
      </c>
      <c r="E460" s="5">
        <v>3.08</v>
      </c>
      <c r="F460" s="4">
        <v>34</v>
      </c>
      <c r="G460" s="5">
        <v>3.12</v>
      </c>
      <c r="H460" s="4">
        <v>0</v>
      </c>
    </row>
    <row r="461" spans="1:8" x14ac:dyDescent="0.2">
      <c r="A461" s="2" t="s">
        <v>85</v>
      </c>
      <c r="B461" s="4">
        <v>232</v>
      </c>
      <c r="C461" s="5">
        <v>10.42</v>
      </c>
      <c r="D461" s="4">
        <v>211</v>
      </c>
      <c r="E461" s="5">
        <v>18.57</v>
      </c>
      <c r="F461" s="4">
        <v>21</v>
      </c>
      <c r="G461" s="5">
        <v>1.93</v>
      </c>
      <c r="H461" s="4">
        <v>0</v>
      </c>
    </row>
    <row r="462" spans="1:8" x14ac:dyDescent="0.2">
      <c r="A462" s="2" t="s">
        <v>86</v>
      </c>
      <c r="B462" s="4">
        <v>246</v>
      </c>
      <c r="C462" s="5">
        <v>11.05</v>
      </c>
      <c r="D462" s="4">
        <v>210</v>
      </c>
      <c r="E462" s="5">
        <v>18.489999999999998</v>
      </c>
      <c r="F462" s="4">
        <v>36</v>
      </c>
      <c r="G462" s="5">
        <v>3.31</v>
      </c>
      <c r="H462" s="4">
        <v>0</v>
      </c>
    </row>
    <row r="463" spans="1:8" x14ac:dyDescent="0.2">
      <c r="A463" s="2" t="s">
        <v>87</v>
      </c>
      <c r="B463" s="4">
        <v>65</v>
      </c>
      <c r="C463" s="5">
        <v>2.92</v>
      </c>
      <c r="D463" s="4">
        <v>50</v>
      </c>
      <c r="E463" s="5">
        <v>4.4000000000000004</v>
      </c>
      <c r="F463" s="4">
        <v>14</v>
      </c>
      <c r="G463" s="5">
        <v>1.29</v>
      </c>
      <c r="H463" s="4">
        <v>0</v>
      </c>
    </row>
    <row r="464" spans="1:8" x14ac:dyDescent="0.2">
      <c r="A464" s="2" t="s">
        <v>88</v>
      </c>
      <c r="B464" s="4">
        <v>120</v>
      </c>
      <c r="C464" s="5">
        <v>5.39</v>
      </c>
      <c r="D464" s="4">
        <v>78</v>
      </c>
      <c r="E464" s="5">
        <v>6.87</v>
      </c>
      <c r="F464" s="4">
        <v>42</v>
      </c>
      <c r="G464" s="5">
        <v>3.86</v>
      </c>
      <c r="H464" s="4">
        <v>0</v>
      </c>
    </row>
    <row r="465" spans="1:8" x14ac:dyDescent="0.2">
      <c r="A465" s="2" t="s">
        <v>89</v>
      </c>
      <c r="B465" s="4">
        <v>69</v>
      </c>
      <c r="C465" s="5">
        <v>3.1</v>
      </c>
      <c r="D465" s="4">
        <v>31</v>
      </c>
      <c r="E465" s="5">
        <v>2.73</v>
      </c>
      <c r="F465" s="4">
        <v>38</v>
      </c>
      <c r="G465" s="5">
        <v>3.49</v>
      </c>
      <c r="H465" s="4">
        <v>0</v>
      </c>
    </row>
    <row r="466" spans="1:8" x14ac:dyDescent="0.2">
      <c r="A466" s="1" t="s">
        <v>29</v>
      </c>
      <c r="B466" s="4">
        <v>1327</v>
      </c>
      <c r="C466" s="5">
        <v>99.999999999999986</v>
      </c>
      <c r="D466" s="4">
        <v>811</v>
      </c>
      <c r="E466" s="5">
        <v>100</v>
      </c>
      <c r="F466" s="4">
        <v>514</v>
      </c>
      <c r="G466" s="5">
        <v>99.980000000000018</v>
      </c>
      <c r="H466" s="4">
        <v>2</v>
      </c>
    </row>
    <row r="467" spans="1:8" x14ac:dyDescent="0.2">
      <c r="A467" s="2" t="s">
        <v>75</v>
      </c>
      <c r="B467" s="4">
        <v>0</v>
      </c>
      <c r="C467" s="5">
        <v>0</v>
      </c>
      <c r="D467" s="4">
        <v>0</v>
      </c>
      <c r="E467" s="5">
        <v>0</v>
      </c>
      <c r="F467" s="4">
        <v>0</v>
      </c>
      <c r="G467" s="5">
        <v>0</v>
      </c>
      <c r="H467" s="4">
        <v>0</v>
      </c>
    </row>
    <row r="468" spans="1:8" x14ac:dyDescent="0.2">
      <c r="A468" s="2" t="s">
        <v>76</v>
      </c>
      <c r="B468" s="4">
        <v>148</v>
      </c>
      <c r="C468" s="5">
        <v>11.15</v>
      </c>
      <c r="D468" s="4">
        <v>35</v>
      </c>
      <c r="E468" s="5">
        <v>4.32</v>
      </c>
      <c r="F468" s="4">
        <v>113</v>
      </c>
      <c r="G468" s="5">
        <v>21.98</v>
      </c>
      <c r="H468" s="4">
        <v>0</v>
      </c>
    </row>
    <row r="469" spans="1:8" x14ac:dyDescent="0.2">
      <c r="A469" s="2" t="s">
        <v>77</v>
      </c>
      <c r="B469" s="4">
        <v>75</v>
      </c>
      <c r="C469" s="5">
        <v>5.65</v>
      </c>
      <c r="D469" s="4">
        <v>30</v>
      </c>
      <c r="E469" s="5">
        <v>3.7</v>
      </c>
      <c r="F469" s="4">
        <v>45</v>
      </c>
      <c r="G469" s="5">
        <v>8.75</v>
      </c>
      <c r="H469" s="4">
        <v>0</v>
      </c>
    </row>
    <row r="470" spans="1:8" x14ac:dyDescent="0.2">
      <c r="A470" s="2" t="s">
        <v>78</v>
      </c>
      <c r="B470" s="4">
        <v>1</v>
      </c>
      <c r="C470" s="5">
        <v>0.08</v>
      </c>
      <c r="D470" s="4">
        <v>0</v>
      </c>
      <c r="E470" s="5">
        <v>0</v>
      </c>
      <c r="F470" s="4">
        <v>1</v>
      </c>
      <c r="G470" s="5">
        <v>0.19</v>
      </c>
      <c r="H470" s="4">
        <v>0</v>
      </c>
    </row>
    <row r="471" spans="1:8" x14ac:dyDescent="0.2">
      <c r="A471" s="2" t="s">
        <v>79</v>
      </c>
      <c r="B471" s="4">
        <v>10</v>
      </c>
      <c r="C471" s="5">
        <v>0.75</v>
      </c>
      <c r="D471" s="4">
        <v>0</v>
      </c>
      <c r="E471" s="5">
        <v>0</v>
      </c>
      <c r="F471" s="4">
        <v>10</v>
      </c>
      <c r="G471" s="5">
        <v>1.95</v>
      </c>
      <c r="H471" s="4">
        <v>0</v>
      </c>
    </row>
    <row r="472" spans="1:8" x14ac:dyDescent="0.2">
      <c r="A472" s="2" t="s">
        <v>80</v>
      </c>
      <c r="B472" s="4">
        <v>15</v>
      </c>
      <c r="C472" s="5">
        <v>1.1299999999999999</v>
      </c>
      <c r="D472" s="4">
        <v>7</v>
      </c>
      <c r="E472" s="5">
        <v>0.86</v>
      </c>
      <c r="F472" s="4">
        <v>8</v>
      </c>
      <c r="G472" s="5">
        <v>1.56</v>
      </c>
      <c r="H472" s="4">
        <v>0</v>
      </c>
    </row>
    <row r="473" spans="1:8" x14ac:dyDescent="0.2">
      <c r="A473" s="2" t="s">
        <v>81</v>
      </c>
      <c r="B473" s="4">
        <v>247</v>
      </c>
      <c r="C473" s="5">
        <v>18.61</v>
      </c>
      <c r="D473" s="4">
        <v>145</v>
      </c>
      <c r="E473" s="5">
        <v>17.88</v>
      </c>
      <c r="F473" s="4">
        <v>102</v>
      </c>
      <c r="G473" s="5">
        <v>19.84</v>
      </c>
      <c r="H473" s="4">
        <v>0</v>
      </c>
    </row>
    <row r="474" spans="1:8" x14ac:dyDescent="0.2">
      <c r="A474" s="2" t="s">
        <v>82</v>
      </c>
      <c r="B474" s="4">
        <v>3</v>
      </c>
      <c r="C474" s="5">
        <v>0.23</v>
      </c>
      <c r="D474" s="4">
        <v>0</v>
      </c>
      <c r="E474" s="5">
        <v>0</v>
      </c>
      <c r="F474" s="4">
        <v>3</v>
      </c>
      <c r="G474" s="5">
        <v>0.57999999999999996</v>
      </c>
      <c r="H474" s="4">
        <v>0</v>
      </c>
    </row>
    <row r="475" spans="1:8" x14ac:dyDescent="0.2">
      <c r="A475" s="2" t="s">
        <v>83</v>
      </c>
      <c r="B475" s="4">
        <v>182</v>
      </c>
      <c r="C475" s="5">
        <v>13.72</v>
      </c>
      <c r="D475" s="4">
        <v>69</v>
      </c>
      <c r="E475" s="5">
        <v>8.51</v>
      </c>
      <c r="F475" s="4">
        <v>113</v>
      </c>
      <c r="G475" s="5">
        <v>21.98</v>
      </c>
      <c r="H475" s="4">
        <v>0</v>
      </c>
    </row>
    <row r="476" spans="1:8" x14ac:dyDescent="0.2">
      <c r="A476" s="2" t="s">
        <v>84</v>
      </c>
      <c r="B476" s="4">
        <v>55</v>
      </c>
      <c r="C476" s="5">
        <v>4.1399999999999997</v>
      </c>
      <c r="D476" s="4">
        <v>34</v>
      </c>
      <c r="E476" s="5">
        <v>4.1900000000000004</v>
      </c>
      <c r="F476" s="4">
        <v>20</v>
      </c>
      <c r="G476" s="5">
        <v>3.89</v>
      </c>
      <c r="H476" s="4">
        <v>1</v>
      </c>
    </row>
    <row r="477" spans="1:8" x14ac:dyDescent="0.2">
      <c r="A477" s="2" t="s">
        <v>85</v>
      </c>
      <c r="B477" s="4">
        <v>157</v>
      </c>
      <c r="C477" s="5">
        <v>11.83</v>
      </c>
      <c r="D477" s="4">
        <v>148</v>
      </c>
      <c r="E477" s="5">
        <v>18.25</v>
      </c>
      <c r="F477" s="4">
        <v>9</v>
      </c>
      <c r="G477" s="5">
        <v>1.75</v>
      </c>
      <c r="H477" s="4">
        <v>0</v>
      </c>
    </row>
    <row r="478" spans="1:8" x14ac:dyDescent="0.2">
      <c r="A478" s="2" t="s">
        <v>86</v>
      </c>
      <c r="B478" s="4">
        <v>240</v>
      </c>
      <c r="C478" s="5">
        <v>18.09</v>
      </c>
      <c r="D478" s="4">
        <v>203</v>
      </c>
      <c r="E478" s="5">
        <v>25.03</v>
      </c>
      <c r="F478" s="4">
        <v>37</v>
      </c>
      <c r="G478" s="5">
        <v>7.2</v>
      </c>
      <c r="H478" s="4">
        <v>0</v>
      </c>
    </row>
    <row r="479" spans="1:8" x14ac:dyDescent="0.2">
      <c r="A479" s="2" t="s">
        <v>87</v>
      </c>
      <c r="B479" s="4">
        <v>57</v>
      </c>
      <c r="C479" s="5">
        <v>4.3</v>
      </c>
      <c r="D479" s="4">
        <v>48</v>
      </c>
      <c r="E479" s="5">
        <v>5.92</v>
      </c>
      <c r="F479" s="4">
        <v>9</v>
      </c>
      <c r="G479" s="5">
        <v>1.75</v>
      </c>
      <c r="H479" s="4">
        <v>0</v>
      </c>
    </row>
    <row r="480" spans="1:8" x14ac:dyDescent="0.2">
      <c r="A480" s="2" t="s">
        <v>88</v>
      </c>
      <c r="B480" s="4">
        <v>101</v>
      </c>
      <c r="C480" s="5">
        <v>7.61</v>
      </c>
      <c r="D480" s="4">
        <v>76</v>
      </c>
      <c r="E480" s="5">
        <v>9.3699999999999992</v>
      </c>
      <c r="F480" s="4">
        <v>25</v>
      </c>
      <c r="G480" s="5">
        <v>4.8600000000000003</v>
      </c>
      <c r="H480" s="4">
        <v>0</v>
      </c>
    </row>
    <row r="481" spans="1:8" x14ac:dyDescent="0.2">
      <c r="A481" s="2" t="s">
        <v>89</v>
      </c>
      <c r="B481" s="4">
        <v>36</v>
      </c>
      <c r="C481" s="5">
        <v>2.71</v>
      </c>
      <c r="D481" s="4">
        <v>16</v>
      </c>
      <c r="E481" s="5">
        <v>1.97</v>
      </c>
      <c r="F481" s="4">
        <v>19</v>
      </c>
      <c r="G481" s="5">
        <v>3.7</v>
      </c>
      <c r="H481" s="4">
        <v>1</v>
      </c>
    </row>
    <row r="482" spans="1:8" x14ac:dyDescent="0.2">
      <c r="A482" s="1" t="s">
        <v>30</v>
      </c>
      <c r="B482" s="4">
        <v>2393</v>
      </c>
      <c r="C482" s="5">
        <v>100.02</v>
      </c>
      <c r="D482" s="4">
        <v>1172</v>
      </c>
      <c r="E482" s="5">
        <v>100</v>
      </c>
      <c r="F482" s="4">
        <v>1218</v>
      </c>
      <c r="G482" s="5">
        <v>100.02000000000001</v>
      </c>
      <c r="H482" s="4">
        <v>2</v>
      </c>
    </row>
    <row r="483" spans="1:8" x14ac:dyDescent="0.2">
      <c r="A483" s="2" t="s">
        <v>75</v>
      </c>
      <c r="B483" s="4">
        <v>0</v>
      </c>
      <c r="C483" s="5">
        <v>0</v>
      </c>
      <c r="D483" s="4">
        <v>0</v>
      </c>
      <c r="E483" s="5">
        <v>0</v>
      </c>
      <c r="F483" s="4">
        <v>0</v>
      </c>
      <c r="G483" s="5">
        <v>0</v>
      </c>
      <c r="H483" s="4">
        <v>0</v>
      </c>
    </row>
    <row r="484" spans="1:8" x14ac:dyDescent="0.2">
      <c r="A484" s="2" t="s">
        <v>76</v>
      </c>
      <c r="B484" s="4">
        <v>350</v>
      </c>
      <c r="C484" s="5">
        <v>14.63</v>
      </c>
      <c r="D484" s="4">
        <v>66</v>
      </c>
      <c r="E484" s="5">
        <v>5.63</v>
      </c>
      <c r="F484" s="4">
        <v>284</v>
      </c>
      <c r="G484" s="5">
        <v>23.32</v>
      </c>
      <c r="H484" s="4">
        <v>0</v>
      </c>
    </row>
    <row r="485" spans="1:8" x14ac:dyDescent="0.2">
      <c r="A485" s="2" t="s">
        <v>77</v>
      </c>
      <c r="B485" s="4">
        <v>251</v>
      </c>
      <c r="C485" s="5">
        <v>10.49</v>
      </c>
      <c r="D485" s="4">
        <v>80</v>
      </c>
      <c r="E485" s="5">
        <v>6.83</v>
      </c>
      <c r="F485" s="4">
        <v>171</v>
      </c>
      <c r="G485" s="5">
        <v>14.04</v>
      </c>
      <c r="H485" s="4">
        <v>0</v>
      </c>
    </row>
    <row r="486" spans="1:8" x14ac:dyDescent="0.2">
      <c r="A486" s="2" t="s">
        <v>78</v>
      </c>
      <c r="B486" s="4">
        <v>2</v>
      </c>
      <c r="C486" s="5">
        <v>0.08</v>
      </c>
      <c r="D486" s="4">
        <v>0</v>
      </c>
      <c r="E486" s="5">
        <v>0</v>
      </c>
      <c r="F486" s="4">
        <v>2</v>
      </c>
      <c r="G486" s="5">
        <v>0.16</v>
      </c>
      <c r="H486" s="4">
        <v>0</v>
      </c>
    </row>
    <row r="487" spans="1:8" x14ac:dyDescent="0.2">
      <c r="A487" s="2" t="s">
        <v>79</v>
      </c>
      <c r="B487" s="4">
        <v>12</v>
      </c>
      <c r="C487" s="5">
        <v>0.5</v>
      </c>
      <c r="D487" s="4">
        <v>0</v>
      </c>
      <c r="E487" s="5">
        <v>0</v>
      </c>
      <c r="F487" s="4">
        <v>12</v>
      </c>
      <c r="G487" s="5">
        <v>0.99</v>
      </c>
      <c r="H487" s="4">
        <v>0</v>
      </c>
    </row>
    <row r="488" spans="1:8" x14ac:dyDescent="0.2">
      <c r="A488" s="2" t="s">
        <v>80</v>
      </c>
      <c r="B488" s="4">
        <v>50</v>
      </c>
      <c r="C488" s="5">
        <v>2.09</v>
      </c>
      <c r="D488" s="4">
        <v>17</v>
      </c>
      <c r="E488" s="5">
        <v>1.45</v>
      </c>
      <c r="F488" s="4">
        <v>32</v>
      </c>
      <c r="G488" s="5">
        <v>2.63</v>
      </c>
      <c r="H488" s="4">
        <v>0</v>
      </c>
    </row>
    <row r="489" spans="1:8" x14ac:dyDescent="0.2">
      <c r="A489" s="2" t="s">
        <v>81</v>
      </c>
      <c r="B489" s="4">
        <v>501</v>
      </c>
      <c r="C489" s="5">
        <v>20.94</v>
      </c>
      <c r="D489" s="4">
        <v>263</v>
      </c>
      <c r="E489" s="5">
        <v>22.44</v>
      </c>
      <c r="F489" s="4">
        <v>238</v>
      </c>
      <c r="G489" s="5">
        <v>19.54</v>
      </c>
      <c r="H489" s="4">
        <v>0</v>
      </c>
    </row>
    <row r="490" spans="1:8" x14ac:dyDescent="0.2">
      <c r="A490" s="2" t="s">
        <v>82</v>
      </c>
      <c r="B490" s="4">
        <v>15</v>
      </c>
      <c r="C490" s="5">
        <v>0.63</v>
      </c>
      <c r="D490" s="4">
        <v>0</v>
      </c>
      <c r="E490" s="5">
        <v>0</v>
      </c>
      <c r="F490" s="4">
        <v>15</v>
      </c>
      <c r="G490" s="5">
        <v>1.23</v>
      </c>
      <c r="H490" s="4">
        <v>0</v>
      </c>
    </row>
    <row r="491" spans="1:8" x14ac:dyDescent="0.2">
      <c r="A491" s="2" t="s">
        <v>83</v>
      </c>
      <c r="B491" s="4">
        <v>262</v>
      </c>
      <c r="C491" s="5">
        <v>10.95</v>
      </c>
      <c r="D491" s="4">
        <v>68</v>
      </c>
      <c r="E491" s="5">
        <v>5.8</v>
      </c>
      <c r="F491" s="4">
        <v>194</v>
      </c>
      <c r="G491" s="5">
        <v>15.93</v>
      </c>
      <c r="H491" s="4">
        <v>0</v>
      </c>
    </row>
    <row r="492" spans="1:8" x14ac:dyDescent="0.2">
      <c r="A492" s="2" t="s">
        <v>84</v>
      </c>
      <c r="B492" s="4">
        <v>88</v>
      </c>
      <c r="C492" s="5">
        <v>3.68</v>
      </c>
      <c r="D492" s="4">
        <v>34</v>
      </c>
      <c r="E492" s="5">
        <v>2.9</v>
      </c>
      <c r="F492" s="4">
        <v>54</v>
      </c>
      <c r="G492" s="5">
        <v>4.43</v>
      </c>
      <c r="H492" s="4">
        <v>0</v>
      </c>
    </row>
    <row r="493" spans="1:8" x14ac:dyDescent="0.2">
      <c r="A493" s="2" t="s">
        <v>85</v>
      </c>
      <c r="B493" s="4">
        <v>272</v>
      </c>
      <c r="C493" s="5">
        <v>11.37</v>
      </c>
      <c r="D493" s="4">
        <v>230</v>
      </c>
      <c r="E493" s="5">
        <v>19.62</v>
      </c>
      <c r="F493" s="4">
        <v>42</v>
      </c>
      <c r="G493" s="5">
        <v>3.45</v>
      </c>
      <c r="H493" s="4">
        <v>0</v>
      </c>
    </row>
    <row r="494" spans="1:8" x14ac:dyDescent="0.2">
      <c r="A494" s="2" t="s">
        <v>86</v>
      </c>
      <c r="B494" s="4">
        <v>288</v>
      </c>
      <c r="C494" s="5">
        <v>12.04</v>
      </c>
      <c r="D494" s="4">
        <v>238</v>
      </c>
      <c r="E494" s="5">
        <v>20.309999999999999</v>
      </c>
      <c r="F494" s="4">
        <v>50</v>
      </c>
      <c r="G494" s="5">
        <v>4.1100000000000003</v>
      </c>
      <c r="H494" s="4">
        <v>0</v>
      </c>
    </row>
    <row r="495" spans="1:8" x14ac:dyDescent="0.2">
      <c r="A495" s="2" t="s">
        <v>87</v>
      </c>
      <c r="B495" s="4">
        <v>87</v>
      </c>
      <c r="C495" s="5">
        <v>3.64</v>
      </c>
      <c r="D495" s="4">
        <v>64</v>
      </c>
      <c r="E495" s="5">
        <v>5.46</v>
      </c>
      <c r="F495" s="4">
        <v>22</v>
      </c>
      <c r="G495" s="5">
        <v>1.81</v>
      </c>
      <c r="H495" s="4">
        <v>1</v>
      </c>
    </row>
    <row r="496" spans="1:8" x14ac:dyDescent="0.2">
      <c r="A496" s="2" t="s">
        <v>88</v>
      </c>
      <c r="B496" s="4">
        <v>136</v>
      </c>
      <c r="C496" s="5">
        <v>5.68</v>
      </c>
      <c r="D496" s="4">
        <v>84</v>
      </c>
      <c r="E496" s="5">
        <v>7.17</v>
      </c>
      <c r="F496" s="4">
        <v>52</v>
      </c>
      <c r="G496" s="5">
        <v>4.2699999999999996</v>
      </c>
      <c r="H496" s="4">
        <v>0</v>
      </c>
    </row>
    <row r="497" spans="1:8" x14ac:dyDescent="0.2">
      <c r="A497" s="2" t="s">
        <v>89</v>
      </c>
      <c r="B497" s="4">
        <v>79</v>
      </c>
      <c r="C497" s="5">
        <v>3.3</v>
      </c>
      <c r="D497" s="4">
        <v>28</v>
      </c>
      <c r="E497" s="5">
        <v>2.39</v>
      </c>
      <c r="F497" s="4">
        <v>50</v>
      </c>
      <c r="G497" s="5">
        <v>4.1100000000000003</v>
      </c>
      <c r="H497" s="4">
        <v>1</v>
      </c>
    </row>
    <row r="498" spans="1:8" x14ac:dyDescent="0.2">
      <c r="A498" s="1" t="s">
        <v>31</v>
      </c>
      <c r="B498" s="4">
        <v>1458</v>
      </c>
      <c r="C498" s="5">
        <v>100.00000000000001</v>
      </c>
      <c r="D498" s="4">
        <v>627</v>
      </c>
      <c r="E498" s="5">
        <v>100.00999999999999</v>
      </c>
      <c r="F498" s="4">
        <v>831</v>
      </c>
      <c r="G498" s="5">
        <v>99.990000000000009</v>
      </c>
      <c r="H498" s="4">
        <v>0</v>
      </c>
    </row>
    <row r="499" spans="1:8" x14ac:dyDescent="0.2">
      <c r="A499" s="2" t="s">
        <v>75</v>
      </c>
      <c r="B499" s="4">
        <v>0</v>
      </c>
      <c r="C499" s="5">
        <v>0</v>
      </c>
      <c r="D499" s="4">
        <v>0</v>
      </c>
      <c r="E499" s="5">
        <v>0</v>
      </c>
      <c r="F499" s="4">
        <v>0</v>
      </c>
      <c r="G499" s="5">
        <v>0</v>
      </c>
      <c r="H499" s="4">
        <v>0</v>
      </c>
    </row>
    <row r="500" spans="1:8" x14ac:dyDescent="0.2">
      <c r="A500" s="2" t="s">
        <v>76</v>
      </c>
      <c r="B500" s="4">
        <v>235</v>
      </c>
      <c r="C500" s="5">
        <v>16.12</v>
      </c>
      <c r="D500" s="4">
        <v>49</v>
      </c>
      <c r="E500" s="5">
        <v>7.81</v>
      </c>
      <c r="F500" s="4">
        <v>186</v>
      </c>
      <c r="G500" s="5">
        <v>22.38</v>
      </c>
      <c r="H500" s="4">
        <v>0</v>
      </c>
    </row>
    <row r="501" spans="1:8" x14ac:dyDescent="0.2">
      <c r="A501" s="2" t="s">
        <v>77</v>
      </c>
      <c r="B501" s="4">
        <v>137</v>
      </c>
      <c r="C501" s="5">
        <v>9.4</v>
      </c>
      <c r="D501" s="4">
        <v>60</v>
      </c>
      <c r="E501" s="5">
        <v>9.57</v>
      </c>
      <c r="F501" s="4">
        <v>77</v>
      </c>
      <c r="G501" s="5">
        <v>9.27</v>
      </c>
      <c r="H501" s="4">
        <v>0</v>
      </c>
    </row>
    <row r="502" spans="1:8" x14ac:dyDescent="0.2">
      <c r="A502" s="2" t="s">
        <v>78</v>
      </c>
      <c r="B502" s="4">
        <v>1</v>
      </c>
      <c r="C502" s="5">
        <v>7.0000000000000007E-2</v>
      </c>
      <c r="D502" s="4">
        <v>0</v>
      </c>
      <c r="E502" s="5">
        <v>0</v>
      </c>
      <c r="F502" s="4">
        <v>1</v>
      </c>
      <c r="G502" s="5">
        <v>0.12</v>
      </c>
      <c r="H502" s="4">
        <v>0</v>
      </c>
    </row>
    <row r="503" spans="1:8" x14ac:dyDescent="0.2">
      <c r="A503" s="2" t="s">
        <v>79</v>
      </c>
      <c r="B503" s="4">
        <v>6</v>
      </c>
      <c r="C503" s="5">
        <v>0.41</v>
      </c>
      <c r="D503" s="4">
        <v>0</v>
      </c>
      <c r="E503" s="5">
        <v>0</v>
      </c>
      <c r="F503" s="4">
        <v>6</v>
      </c>
      <c r="G503" s="5">
        <v>0.72</v>
      </c>
      <c r="H503" s="4">
        <v>0</v>
      </c>
    </row>
    <row r="504" spans="1:8" x14ac:dyDescent="0.2">
      <c r="A504" s="2" t="s">
        <v>80</v>
      </c>
      <c r="B504" s="4">
        <v>41</v>
      </c>
      <c r="C504" s="5">
        <v>2.81</v>
      </c>
      <c r="D504" s="4">
        <v>33</v>
      </c>
      <c r="E504" s="5">
        <v>5.26</v>
      </c>
      <c r="F504" s="4">
        <v>8</v>
      </c>
      <c r="G504" s="5">
        <v>0.96</v>
      </c>
      <c r="H504" s="4">
        <v>0</v>
      </c>
    </row>
    <row r="505" spans="1:8" x14ac:dyDescent="0.2">
      <c r="A505" s="2" t="s">
        <v>81</v>
      </c>
      <c r="B505" s="4">
        <v>323</v>
      </c>
      <c r="C505" s="5">
        <v>22.15</v>
      </c>
      <c r="D505" s="4">
        <v>127</v>
      </c>
      <c r="E505" s="5">
        <v>20.260000000000002</v>
      </c>
      <c r="F505" s="4">
        <v>196</v>
      </c>
      <c r="G505" s="5">
        <v>23.59</v>
      </c>
      <c r="H505" s="4">
        <v>0</v>
      </c>
    </row>
    <row r="506" spans="1:8" x14ac:dyDescent="0.2">
      <c r="A506" s="2" t="s">
        <v>82</v>
      </c>
      <c r="B506" s="4">
        <v>17</v>
      </c>
      <c r="C506" s="5">
        <v>1.17</v>
      </c>
      <c r="D506" s="4">
        <v>3</v>
      </c>
      <c r="E506" s="5">
        <v>0.48</v>
      </c>
      <c r="F506" s="4">
        <v>14</v>
      </c>
      <c r="G506" s="5">
        <v>1.68</v>
      </c>
      <c r="H506" s="4">
        <v>0</v>
      </c>
    </row>
    <row r="507" spans="1:8" x14ac:dyDescent="0.2">
      <c r="A507" s="2" t="s">
        <v>83</v>
      </c>
      <c r="B507" s="4">
        <v>151</v>
      </c>
      <c r="C507" s="5">
        <v>10.36</v>
      </c>
      <c r="D507" s="4">
        <v>18</v>
      </c>
      <c r="E507" s="5">
        <v>2.87</v>
      </c>
      <c r="F507" s="4">
        <v>133</v>
      </c>
      <c r="G507" s="5">
        <v>16</v>
      </c>
      <c r="H507" s="4">
        <v>0</v>
      </c>
    </row>
    <row r="508" spans="1:8" x14ac:dyDescent="0.2">
      <c r="A508" s="2" t="s">
        <v>84</v>
      </c>
      <c r="B508" s="4">
        <v>72</v>
      </c>
      <c r="C508" s="5">
        <v>4.9400000000000004</v>
      </c>
      <c r="D508" s="4">
        <v>26</v>
      </c>
      <c r="E508" s="5">
        <v>4.1500000000000004</v>
      </c>
      <c r="F508" s="4">
        <v>46</v>
      </c>
      <c r="G508" s="5">
        <v>5.54</v>
      </c>
      <c r="H508" s="4">
        <v>0</v>
      </c>
    </row>
    <row r="509" spans="1:8" x14ac:dyDescent="0.2">
      <c r="A509" s="2" t="s">
        <v>85</v>
      </c>
      <c r="B509" s="4">
        <v>118</v>
      </c>
      <c r="C509" s="5">
        <v>8.09</v>
      </c>
      <c r="D509" s="4">
        <v>84</v>
      </c>
      <c r="E509" s="5">
        <v>13.4</v>
      </c>
      <c r="F509" s="4">
        <v>34</v>
      </c>
      <c r="G509" s="5">
        <v>4.09</v>
      </c>
      <c r="H509" s="4">
        <v>0</v>
      </c>
    </row>
    <row r="510" spans="1:8" x14ac:dyDescent="0.2">
      <c r="A510" s="2" t="s">
        <v>86</v>
      </c>
      <c r="B510" s="4">
        <v>135</v>
      </c>
      <c r="C510" s="5">
        <v>9.26</v>
      </c>
      <c r="D510" s="4">
        <v>98</v>
      </c>
      <c r="E510" s="5">
        <v>15.63</v>
      </c>
      <c r="F510" s="4">
        <v>37</v>
      </c>
      <c r="G510" s="5">
        <v>4.45</v>
      </c>
      <c r="H510" s="4">
        <v>0</v>
      </c>
    </row>
    <row r="511" spans="1:8" x14ac:dyDescent="0.2">
      <c r="A511" s="2" t="s">
        <v>87</v>
      </c>
      <c r="B511" s="4">
        <v>47</v>
      </c>
      <c r="C511" s="5">
        <v>3.22</v>
      </c>
      <c r="D511" s="4">
        <v>29</v>
      </c>
      <c r="E511" s="5">
        <v>4.63</v>
      </c>
      <c r="F511" s="4">
        <v>18</v>
      </c>
      <c r="G511" s="5">
        <v>2.17</v>
      </c>
      <c r="H511" s="4">
        <v>0</v>
      </c>
    </row>
    <row r="512" spans="1:8" x14ac:dyDescent="0.2">
      <c r="A512" s="2" t="s">
        <v>88</v>
      </c>
      <c r="B512" s="4">
        <v>99</v>
      </c>
      <c r="C512" s="5">
        <v>6.79</v>
      </c>
      <c r="D512" s="4">
        <v>57</v>
      </c>
      <c r="E512" s="5">
        <v>9.09</v>
      </c>
      <c r="F512" s="4">
        <v>42</v>
      </c>
      <c r="G512" s="5">
        <v>5.05</v>
      </c>
      <c r="H512" s="4">
        <v>0</v>
      </c>
    </row>
    <row r="513" spans="1:8" x14ac:dyDescent="0.2">
      <c r="A513" s="2" t="s">
        <v>89</v>
      </c>
      <c r="B513" s="4">
        <v>76</v>
      </c>
      <c r="C513" s="5">
        <v>5.21</v>
      </c>
      <c r="D513" s="4">
        <v>43</v>
      </c>
      <c r="E513" s="5">
        <v>6.86</v>
      </c>
      <c r="F513" s="4">
        <v>33</v>
      </c>
      <c r="G513" s="5">
        <v>3.97</v>
      </c>
      <c r="H513" s="4">
        <v>0</v>
      </c>
    </row>
    <row r="514" spans="1:8" x14ac:dyDescent="0.2">
      <c r="A514" s="1" t="s">
        <v>32</v>
      </c>
      <c r="B514" s="4">
        <v>2566</v>
      </c>
      <c r="C514" s="5">
        <v>100.03</v>
      </c>
      <c r="D514" s="4">
        <v>1204</v>
      </c>
      <c r="E514" s="5">
        <v>100.01</v>
      </c>
      <c r="F514" s="4">
        <v>1361</v>
      </c>
      <c r="G514" s="5">
        <v>100</v>
      </c>
      <c r="H514" s="4">
        <v>0</v>
      </c>
    </row>
    <row r="515" spans="1:8" x14ac:dyDescent="0.2">
      <c r="A515" s="2" t="s">
        <v>75</v>
      </c>
      <c r="B515" s="4">
        <v>0</v>
      </c>
      <c r="C515" s="5">
        <v>0</v>
      </c>
      <c r="D515" s="4">
        <v>0</v>
      </c>
      <c r="E515" s="5">
        <v>0</v>
      </c>
      <c r="F515" s="4">
        <v>0</v>
      </c>
      <c r="G515" s="5">
        <v>0</v>
      </c>
      <c r="H515" s="4">
        <v>0</v>
      </c>
    </row>
    <row r="516" spans="1:8" x14ac:dyDescent="0.2">
      <c r="A516" s="2" t="s">
        <v>76</v>
      </c>
      <c r="B516" s="4">
        <v>361</v>
      </c>
      <c r="C516" s="5">
        <v>14.07</v>
      </c>
      <c r="D516" s="4">
        <v>58</v>
      </c>
      <c r="E516" s="5">
        <v>4.82</v>
      </c>
      <c r="F516" s="4">
        <v>303</v>
      </c>
      <c r="G516" s="5">
        <v>22.26</v>
      </c>
      <c r="H516" s="4">
        <v>0</v>
      </c>
    </row>
    <row r="517" spans="1:8" x14ac:dyDescent="0.2">
      <c r="A517" s="2" t="s">
        <v>77</v>
      </c>
      <c r="B517" s="4">
        <v>234</v>
      </c>
      <c r="C517" s="5">
        <v>9.1199999999999992</v>
      </c>
      <c r="D517" s="4">
        <v>84</v>
      </c>
      <c r="E517" s="5">
        <v>6.98</v>
      </c>
      <c r="F517" s="4">
        <v>150</v>
      </c>
      <c r="G517" s="5">
        <v>11.02</v>
      </c>
      <c r="H517" s="4">
        <v>0</v>
      </c>
    </row>
    <row r="518" spans="1:8" x14ac:dyDescent="0.2">
      <c r="A518" s="2" t="s">
        <v>78</v>
      </c>
      <c r="B518" s="4">
        <v>0</v>
      </c>
      <c r="C518" s="5">
        <v>0</v>
      </c>
      <c r="D518" s="4">
        <v>0</v>
      </c>
      <c r="E518" s="5">
        <v>0</v>
      </c>
      <c r="F518" s="4">
        <v>0</v>
      </c>
      <c r="G518" s="5">
        <v>0</v>
      </c>
      <c r="H518" s="4">
        <v>0</v>
      </c>
    </row>
    <row r="519" spans="1:8" x14ac:dyDescent="0.2">
      <c r="A519" s="2" t="s">
        <v>79</v>
      </c>
      <c r="B519" s="4">
        <v>24</v>
      </c>
      <c r="C519" s="5">
        <v>0.94</v>
      </c>
      <c r="D519" s="4">
        <v>2</v>
      </c>
      <c r="E519" s="5">
        <v>0.17</v>
      </c>
      <c r="F519" s="4">
        <v>22</v>
      </c>
      <c r="G519" s="5">
        <v>1.62</v>
      </c>
      <c r="H519" s="4">
        <v>0</v>
      </c>
    </row>
    <row r="520" spans="1:8" x14ac:dyDescent="0.2">
      <c r="A520" s="2" t="s">
        <v>80</v>
      </c>
      <c r="B520" s="4">
        <v>14</v>
      </c>
      <c r="C520" s="5">
        <v>0.55000000000000004</v>
      </c>
      <c r="D520" s="4">
        <v>6</v>
      </c>
      <c r="E520" s="5">
        <v>0.5</v>
      </c>
      <c r="F520" s="4">
        <v>8</v>
      </c>
      <c r="G520" s="5">
        <v>0.59</v>
      </c>
      <c r="H520" s="4">
        <v>0</v>
      </c>
    </row>
    <row r="521" spans="1:8" x14ac:dyDescent="0.2">
      <c r="A521" s="2" t="s">
        <v>81</v>
      </c>
      <c r="B521" s="4">
        <v>469</v>
      </c>
      <c r="C521" s="5">
        <v>18.28</v>
      </c>
      <c r="D521" s="4">
        <v>231</v>
      </c>
      <c r="E521" s="5">
        <v>19.190000000000001</v>
      </c>
      <c r="F521" s="4">
        <v>238</v>
      </c>
      <c r="G521" s="5">
        <v>17.489999999999998</v>
      </c>
      <c r="H521" s="4">
        <v>0</v>
      </c>
    </row>
    <row r="522" spans="1:8" x14ac:dyDescent="0.2">
      <c r="A522" s="2" t="s">
        <v>82</v>
      </c>
      <c r="B522" s="4">
        <v>14</v>
      </c>
      <c r="C522" s="5">
        <v>0.55000000000000004</v>
      </c>
      <c r="D522" s="4">
        <v>4</v>
      </c>
      <c r="E522" s="5">
        <v>0.33</v>
      </c>
      <c r="F522" s="4">
        <v>10</v>
      </c>
      <c r="G522" s="5">
        <v>0.73</v>
      </c>
      <c r="H522" s="4">
        <v>0</v>
      </c>
    </row>
    <row r="523" spans="1:8" x14ac:dyDescent="0.2">
      <c r="A523" s="2" t="s">
        <v>83</v>
      </c>
      <c r="B523" s="4">
        <v>359</v>
      </c>
      <c r="C523" s="5">
        <v>13.99</v>
      </c>
      <c r="D523" s="4">
        <v>42</v>
      </c>
      <c r="E523" s="5">
        <v>3.49</v>
      </c>
      <c r="F523" s="4">
        <v>317</v>
      </c>
      <c r="G523" s="5">
        <v>23.29</v>
      </c>
      <c r="H523" s="4">
        <v>0</v>
      </c>
    </row>
    <row r="524" spans="1:8" x14ac:dyDescent="0.2">
      <c r="A524" s="2" t="s">
        <v>84</v>
      </c>
      <c r="B524" s="4">
        <v>119</v>
      </c>
      <c r="C524" s="5">
        <v>4.6399999999999997</v>
      </c>
      <c r="D524" s="4">
        <v>57</v>
      </c>
      <c r="E524" s="5">
        <v>4.7300000000000004</v>
      </c>
      <c r="F524" s="4">
        <v>62</v>
      </c>
      <c r="G524" s="5">
        <v>4.5599999999999996</v>
      </c>
      <c r="H524" s="4">
        <v>0</v>
      </c>
    </row>
    <row r="525" spans="1:8" x14ac:dyDescent="0.2">
      <c r="A525" s="2" t="s">
        <v>85</v>
      </c>
      <c r="B525" s="4">
        <v>283</v>
      </c>
      <c r="C525" s="5">
        <v>11.03</v>
      </c>
      <c r="D525" s="4">
        <v>249</v>
      </c>
      <c r="E525" s="5">
        <v>20.68</v>
      </c>
      <c r="F525" s="4">
        <v>33</v>
      </c>
      <c r="G525" s="5">
        <v>2.42</v>
      </c>
      <c r="H525" s="4">
        <v>0</v>
      </c>
    </row>
    <row r="526" spans="1:8" x14ac:dyDescent="0.2">
      <c r="A526" s="2" t="s">
        <v>86</v>
      </c>
      <c r="B526" s="4">
        <v>324</v>
      </c>
      <c r="C526" s="5">
        <v>12.63</v>
      </c>
      <c r="D526" s="4">
        <v>255</v>
      </c>
      <c r="E526" s="5">
        <v>21.18</v>
      </c>
      <c r="F526" s="4">
        <v>69</v>
      </c>
      <c r="G526" s="5">
        <v>5.07</v>
      </c>
      <c r="H526" s="4">
        <v>0</v>
      </c>
    </row>
    <row r="527" spans="1:8" x14ac:dyDescent="0.2">
      <c r="A527" s="2" t="s">
        <v>87</v>
      </c>
      <c r="B527" s="4">
        <v>95</v>
      </c>
      <c r="C527" s="5">
        <v>3.7</v>
      </c>
      <c r="D527" s="4">
        <v>69</v>
      </c>
      <c r="E527" s="5">
        <v>5.73</v>
      </c>
      <c r="F527" s="4">
        <v>26</v>
      </c>
      <c r="G527" s="5">
        <v>1.91</v>
      </c>
      <c r="H527" s="4">
        <v>0</v>
      </c>
    </row>
    <row r="528" spans="1:8" x14ac:dyDescent="0.2">
      <c r="A528" s="2" t="s">
        <v>88</v>
      </c>
      <c r="B528" s="4">
        <v>188</v>
      </c>
      <c r="C528" s="5">
        <v>7.33</v>
      </c>
      <c r="D528" s="4">
        <v>119</v>
      </c>
      <c r="E528" s="5">
        <v>9.8800000000000008</v>
      </c>
      <c r="F528" s="4">
        <v>69</v>
      </c>
      <c r="G528" s="5">
        <v>5.07</v>
      </c>
      <c r="H528" s="4">
        <v>0</v>
      </c>
    </row>
    <row r="529" spans="1:8" x14ac:dyDescent="0.2">
      <c r="A529" s="2" t="s">
        <v>89</v>
      </c>
      <c r="B529" s="4">
        <v>82</v>
      </c>
      <c r="C529" s="5">
        <v>3.2</v>
      </c>
      <c r="D529" s="4">
        <v>28</v>
      </c>
      <c r="E529" s="5">
        <v>2.33</v>
      </c>
      <c r="F529" s="4">
        <v>54</v>
      </c>
      <c r="G529" s="5">
        <v>3.97</v>
      </c>
      <c r="H529" s="4">
        <v>0</v>
      </c>
    </row>
    <row r="530" spans="1:8" x14ac:dyDescent="0.2">
      <c r="A530" s="1" t="s">
        <v>33</v>
      </c>
      <c r="B530" s="4">
        <v>1000</v>
      </c>
      <c r="C530" s="5">
        <v>99.999999999999986</v>
      </c>
      <c r="D530" s="4">
        <v>370</v>
      </c>
      <c r="E530" s="5">
        <v>99.990000000000009</v>
      </c>
      <c r="F530" s="4">
        <v>625</v>
      </c>
      <c r="G530" s="5">
        <v>100.00000000000003</v>
      </c>
      <c r="H530" s="4">
        <v>1</v>
      </c>
    </row>
    <row r="531" spans="1:8" x14ac:dyDescent="0.2">
      <c r="A531" s="2" t="s">
        <v>75</v>
      </c>
      <c r="B531" s="4">
        <v>0</v>
      </c>
      <c r="C531" s="5">
        <v>0</v>
      </c>
      <c r="D531" s="4">
        <v>0</v>
      </c>
      <c r="E531" s="5">
        <v>0</v>
      </c>
      <c r="F531" s="4">
        <v>0</v>
      </c>
      <c r="G531" s="5">
        <v>0</v>
      </c>
      <c r="H531" s="4">
        <v>0</v>
      </c>
    </row>
    <row r="532" spans="1:8" x14ac:dyDescent="0.2">
      <c r="A532" s="2" t="s">
        <v>76</v>
      </c>
      <c r="B532" s="4">
        <v>179</v>
      </c>
      <c r="C532" s="5">
        <v>17.899999999999999</v>
      </c>
      <c r="D532" s="4">
        <v>34</v>
      </c>
      <c r="E532" s="5">
        <v>9.19</v>
      </c>
      <c r="F532" s="4">
        <v>145</v>
      </c>
      <c r="G532" s="5">
        <v>23.2</v>
      </c>
      <c r="H532" s="4">
        <v>0</v>
      </c>
    </row>
    <row r="533" spans="1:8" x14ac:dyDescent="0.2">
      <c r="A533" s="2" t="s">
        <v>77</v>
      </c>
      <c r="B533" s="4">
        <v>289</v>
      </c>
      <c r="C533" s="5">
        <v>28.9</v>
      </c>
      <c r="D533" s="4">
        <v>72</v>
      </c>
      <c r="E533" s="5">
        <v>19.46</v>
      </c>
      <c r="F533" s="4">
        <v>217</v>
      </c>
      <c r="G533" s="5">
        <v>34.72</v>
      </c>
      <c r="H533" s="4">
        <v>0</v>
      </c>
    </row>
    <row r="534" spans="1:8" x14ac:dyDescent="0.2">
      <c r="A534" s="2" t="s">
        <v>78</v>
      </c>
      <c r="B534" s="4">
        <v>1</v>
      </c>
      <c r="C534" s="5">
        <v>0.1</v>
      </c>
      <c r="D534" s="4">
        <v>0</v>
      </c>
      <c r="E534" s="5">
        <v>0</v>
      </c>
      <c r="F534" s="4">
        <v>1</v>
      </c>
      <c r="G534" s="5">
        <v>0.16</v>
      </c>
      <c r="H534" s="4">
        <v>0</v>
      </c>
    </row>
    <row r="535" spans="1:8" x14ac:dyDescent="0.2">
      <c r="A535" s="2" t="s">
        <v>79</v>
      </c>
      <c r="B535" s="4">
        <v>6</v>
      </c>
      <c r="C535" s="5">
        <v>0.6</v>
      </c>
      <c r="D535" s="4">
        <v>0</v>
      </c>
      <c r="E535" s="5">
        <v>0</v>
      </c>
      <c r="F535" s="4">
        <v>6</v>
      </c>
      <c r="G535" s="5">
        <v>0.96</v>
      </c>
      <c r="H535" s="4">
        <v>0</v>
      </c>
    </row>
    <row r="536" spans="1:8" x14ac:dyDescent="0.2">
      <c r="A536" s="2" t="s">
        <v>80</v>
      </c>
      <c r="B536" s="4">
        <v>17</v>
      </c>
      <c r="C536" s="5">
        <v>1.7</v>
      </c>
      <c r="D536" s="4">
        <v>3</v>
      </c>
      <c r="E536" s="5">
        <v>0.81</v>
      </c>
      <c r="F536" s="4">
        <v>14</v>
      </c>
      <c r="G536" s="5">
        <v>2.2400000000000002</v>
      </c>
      <c r="H536" s="4">
        <v>0</v>
      </c>
    </row>
    <row r="537" spans="1:8" x14ac:dyDescent="0.2">
      <c r="A537" s="2" t="s">
        <v>81</v>
      </c>
      <c r="B537" s="4">
        <v>137</v>
      </c>
      <c r="C537" s="5">
        <v>13.7</v>
      </c>
      <c r="D537" s="4">
        <v>56</v>
      </c>
      <c r="E537" s="5">
        <v>15.14</v>
      </c>
      <c r="F537" s="4">
        <v>81</v>
      </c>
      <c r="G537" s="5">
        <v>12.96</v>
      </c>
      <c r="H537" s="4">
        <v>0</v>
      </c>
    </row>
    <row r="538" spans="1:8" x14ac:dyDescent="0.2">
      <c r="A538" s="2" t="s">
        <v>82</v>
      </c>
      <c r="B538" s="4">
        <v>3</v>
      </c>
      <c r="C538" s="5">
        <v>0.3</v>
      </c>
      <c r="D538" s="4">
        <v>2</v>
      </c>
      <c r="E538" s="5">
        <v>0.54</v>
      </c>
      <c r="F538" s="4">
        <v>1</v>
      </c>
      <c r="G538" s="5">
        <v>0.16</v>
      </c>
      <c r="H538" s="4">
        <v>0</v>
      </c>
    </row>
    <row r="539" spans="1:8" x14ac:dyDescent="0.2">
      <c r="A539" s="2" t="s">
        <v>83</v>
      </c>
      <c r="B539" s="4">
        <v>179</v>
      </c>
      <c r="C539" s="5">
        <v>17.899999999999999</v>
      </c>
      <c r="D539" s="4">
        <v>92</v>
      </c>
      <c r="E539" s="5">
        <v>24.86</v>
      </c>
      <c r="F539" s="4">
        <v>87</v>
      </c>
      <c r="G539" s="5">
        <v>13.92</v>
      </c>
      <c r="H539" s="4">
        <v>0</v>
      </c>
    </row>
    <row r="540" spans="1:8" x14ac:dyDescent="0.2">
      <c r="A540" s="2" t="s">
        <v>84</v>
      </c>
      <c r="B540" s="4">
        <v>24</v>
      </c>
      <c r="C540" s="5">
        <v>2.4</v>
      </c>
      <c r="D540" s="4">
        <v>5</v>
      </c>
      <c r="E540" s="5">
        <v>1.35</v>
      </c>
      <c r="F540" s="4">
        <v>19</v>
      </c>
      <c r="G540" s="5">
        <v>3.04</v>
      </c>
      <c r="H540" s="4">
        <v>0</v>
      </c>
    </row>
    <row r="541" spans="1:8" x14ac:dyDescent="0.2">
      <c r="A541" s="2" t="s">
        <v>85</v>
      </c>
      <c r="B541" s="4">
        <v>47</v>
      </c>
      <c r="C541" s="5">
        <v>4.7</v>
      </c>
      <c r="D541" s="4">
        <v>36</v>
      </c>
      <c r="E541" s="5">
        <v>9.73</v>
      </c>
      <c r="F541" s="4">
        <v>11</v>
      </c>
      <c r="G541" s="5">
        <v>1.76</v>
      </c>
      <c r="H541" s="4">
        <v>0</v>
      </c>
    </row>
    <row r="542" spans="1:8" x14ac:dyDescent="0.2">
      <c r="A542" s="2" t="s">
        <v>86</v>
      </c>
      <c r="B542" s="4">
        <v>41</v>
      </c>
      <c r="C542" s="5">
        <v>4.0999999999999996</v>
      </c>
      <c r="D542" s="4">
        <v>32</v>
      </c>
      <c r="E542" s="5">
        <v>8.65</v>
      </c>
      <c r="F542" s="4">
        <v>8</v>
      </c>
      <c r="G542" s="5">
        <v>1.28</v>
      </c>
      <c r="H542" s="4">
        <v>1</v>
      </c>
    </row>
    <row r="543" spans="1:8" x14ac:dyDescent="0.2">
      <c r="A543" s="2" t="s">
        <v>87</v>
      </c>
      <c r="B543" s="4">
        <v>11</v>
      </c>
      <c r="C543" s="5">
        <v>1.1000000000000001</v>
      </c>
      <c r="D543" s="4">
        <v>10</v>
      </c>
      <c r="E543" s="5">
        <v>2.7</v>
      </c>
      <c r="F543" s="4">
        <v>1</v>
      </c>
      <c r="G543" s="5">
        <v>0.16</v>
      </c>
      <c r="H543" s="4">
        <v>0</v>
      </c>
    </row>
    <row r="544" spans="1:8" x14ac:dyDescent="0.2">
      <c r="A544" s="2" t="s">
        <v>88</v>
      </c>
      <c r="B544" s="4">
        <v>25</v>
      </c>
      <c r="C544" s="5">
        <v>2.5</v>
      </c>
      <c r="D544" s="4">
        <v>10</v>
      </c>
      <c r="E544" s="5">
        <v>2.7</v>
      </c>
      <c r="F544" s="4">
        <v>11</v>
      </c>
      <c r="G544" s="5">
        <v>1.76</v>
      </c>
      <c r="H544" s="4">
        <v>0</v>
      </c>
    </row>
    <row r="545" spans="1:8" x14ac:dyDescent="0.2">
      <c r="A545" s="2" t="s">
        <v>89</v>
      </c>
      <c r="B545" s="4">
        <v>41</v>
      </c>
      <c r="C545" s="5">
        <v>4.0999999999999996</v>
      </c>
      <c r="D545" s="4">
        <v>18</v>
      </c>
      <c r="E545" s="5">
        <v>4.8600000000000003</v>
      </c>
      <c r="F545" s="4">
        <v>23</v>
      </c>
      <c r="G545" s="5">
        <v>3.68</v>
      </c>
      <c r="H545" s="4">
        <v>0</v>
      </c>
    </row>
    <row r="546" spans="1:8" x14ac:dyDescent="0.2">
      <c r="A546" s="1" t="s">
        <v>34</v>
      </c>
      <c r="B546" s="4">
        <v>4261</v>
      </c>
      <c r="C546" s="5">
        <v>99.999999999999986</v>
      </c>
      <c r="D546" s="4">
        <v>2284</v>
      </c>
      <c r="E546" s="5">
        <v>100.00000000000001</v>
      </c>
      <c r="F546" s="4">
        <v>1925</v>
      </c>
      <c r="G546" s="5">
        <v>100</v>
      </c>
      <c r="H546" s="4">
        <v>2</v>
      </c>
    </row>
    <row r="547" spans="1:8" x14ac:dyDescent="0.2">
      <c r="A547" s="2" t="s">
        <v>75</v>
      </c>
      <c r="B547" s="4">
        <v>0</v>
      </c>
      <c r="C547" s="5">
        <v>0</v>
      </c>
      <c r="D547" s="4">
        <v>0</v>
      </c>
      <c r="E547" s="5">
        <v>0</v>
      </c>
      <c r="F547" s="4">
        <v>0</v>
      </c>
      <c r="G547" s="5">
        <v>0</v>
      </c>
      <c r="H547" s="4">
        <v>0</v>
      </c>
    </row>
    <row r="548" spans="1:8" x14ac:dyDescent="0.2">
      <c r="A548" s="2" t="s">
        <v>76</v>
      </c>
      <c r="B548" s="4">
        <v>572</v>
      </c>
      <c r="C548" s="5">
        <v>13.42</v>
      </c>
      <c r="D548" s="4">
        <v>125</v>
      </c>
      <c r="E548" s="5">
        <v>5.47</v>
      </c>
      <c r="F548" s="4">
        <v>447</v>
      </c>
      <c r="G548" s="5">
        <v>23.22</v>
      </c>
      <c r="H548" s="4">
        <v>0</v>
      </c>
    </row>
    <row r="549" spans="1:8" x14ac:dyDescent="0.2">
      <c r="A549" s="2" t="s">
        <v>77</v>
      </c>
      <c r="B549" s="4">
        <v>487</v>
      </c>
      <c r="C549" s="5">
        <v>11.43</v>
      </c>
      <c r="D549" s="4">
        <v>206</v>
      </c>
      <c r="E549" s="5">
        <v>9.02</v>
      </c>
      <c r="F549" s="4">
        <v>281</v>
      </c>
      <c r="G549" s="5">
        <v>14.6</v>
      </c>
      <c r="H549" s="4">
        <v>0</v>
      </c>
    </row>
    <row r="550" spans="1:8" x14ac:dyDescent="0.2">
      <c r="A550" s="2" t="s">
        <v>78</v>
      </c>
      <c r="B550" s="4">
        <v>2</v>
      </c>
      <c r="C550" s="5">
        <v>0.05</v>
      </c>
      <c r="D550" s="4">
        <v>0</v>
      </c>
      <c r="E550" s="5">
        <v>0</v>
      </c>
      <c r="F550" s="4">
        <v>2</v>
      </c>
      <c r="G550" s="5">
        <v>0.1</v>
      </c>
      <c r="H550" s="4">
        <v>0</v>
      </c>
    </row>
    <row r="551" spans="1:8" x14ac:dyDescent="0.2">
      <c r="A551" s="2" t="s">
        <v>79</v>
      </c>
      <c r="B551" s="4">
        <v>26</v>
      </c>
      <c r="C551" s="5">
        <v>0.61</v>
      </c>
      <c r="D551" s="4">
        <v>3</v>
      </c>
      <c r="E551" s="5">
        <v>0.13</v>
      </c>
      <c r="F551" s="4">
        <v>23</v>
      </c>
      <c r="G551" s="5">
        <v>1.19</v>
      </c>
      <c r="H551" s="4">
        <v>0</v>
      </c>
    </row>
    <row r="552" spans="1:8" x14ac:dyDescent="0.2">
      <c r="A552" s="2" t="s">
        <v>80</v>
      </c>
      <c r="B552" s="4">
        <v>52</v>
      </c>
      <c r="C552" s="5">
        <v>1.22</v>
      </c>
      <c r="D552" s="4">
        <v>5</v>
      </c>
      <c r="E552" s="5">
        <v>0.22</v>
      </c>
      <c r="F552" s="4">
        <v>47</v>
      </c>
      <c r="G552" s="5">
        <v>2.44</v>
      </c>
      <c r="H552" s="4">
        <v>0</v>
      </c>
    </row>
    <row r="553" spans="1:8" x14ac:dyDescent="0.2">
      <c r="A553" s="2" t="s">
        <v>81</v>
      </c>
      <c r="B553" s="4">
        <v>880</v>
      </c>
      <c r="C553" s="5">
        <v>20.65</v>
      </c>
      <c r="D553" s="4">
        <v>502</v>
      </c>
      <c r="E553" s="5">
        <v>21.98</v>
      </c>
      <c r="F553" s="4">
        <v>378</v>
      </c>
      <c r="G553" s="5">
        <v>19.64</v>
      </c>
      <c r="H553" s="4">
        <v>0</v>
      </c>
    </row>
    <row r="554" spans="1:8" x14ac:dyDescent="0.2">
      <c r="A554" s="2" t="s">
        <v>82</v>
      </c>
      <c r="B554" s="4">
        <v>28</v>
      </c>
      <c r="C554" s="5">
        <v>0.66</v>
      </c>
      <c r="D554" s="4">
        <v>8</v>
      </c>
      <c r="E554" s="5">
        <v>0.35</v>
      </c>
      <c r="F554" s="4">
        <v>20</v>
      </c>
      <c r="G554" s="5">
        <v>1.04</v>
      </c>
      <c r="H554" s="4">
        <v>0</v>
      </c>
    </row>
    <row r="555" spans="1:8" x14ac:dyDescent="0.2">
      <c r="A555" s="2" t="s">
        <v>83</v>
      </c>
      <c r="B555" s="4">
        <v>479</v>
      </c>
      <c r="C555" s="5">
        <v>11.24</v>
      </c>
      <c r="D555" s="4">
        <v>129</v>
      </c>
      <c r="E555" s="5">
        <v>5.65</v>
      </c>
      <c r="F555" s="4">
        <v>350</v>
      </c>
      <c r="G555" s="5">
        <v>18.18</v>
      </c>
      <c r="H555" s="4">
        <v>0</v>
      </c>
    </row>
    <row r="556" spans="1:8" x14ac:dyDescent="0.2">
      <c r="A556" s="2" t="s">
        <v>84</v>
      </c>
      <c r="B556" s="4">
        <v>171</v>
      </c>
      <c r="C556" s="5">
        <v>4.01</v>
      </c>
      <c r="D556" s="4">
        <v>111</v>
      </c>
      <c r="E556" s="5">
        <v>4.8600000000000003</v>
      </c>
      <c r="F556" s="4">
        <v>60</v>
      </c>
      <c r="G556" s="5">
        <v>3.12</v>
      </c>
      <c r="H556" s="4">
        <v>0</v>
      </c>
    </row>
    <row r="557" spans="1:8" x14ac:dyDescent="0.2">
      <c r="A557" s="2" t="s">
        <v>85</v>
      </c>
      <c r="B557" s="4">
        <v>507</v>
      </c>
      <c r="C557" s="5">
        <v>11.9</v>
      </c>
      <c r="D557" s="4">
        <v>446</v>
      </c>
      <c r="E557" s="5">
        <v>19.53</v>
      </c>
      <c r="F557" s="4">
        <v>61</v>
      </c>
      <c r="G557" s="5">
        <v>3.17</v>
      </c>
      <c r="H557" s="4">
        <v>0</v>
      </c>
    </row>
    <row r="558" spans="1:8" x14ac:dyDescent="0.2">
      <c r="A558" s="2" t="s">
        <v>86</v>
      </c>
      <c r="B558" s="4">
        <v>453</v>
      </c>
      <c r="C558" s="5">
        <v>10.63</v>
      </c>
      <c r="D558" s="4">
        <v>376</v>
      </c>
      <c r="E558" s="5">
        <v>16.46</v>
      </c>
      <c r="F558" s="4">
        <v>75</v>
      </c>
      <c r="G558" s="5">
        <v>3.9</v>
      </c>
      <c r="H558" s="4">
        <v>1</v>
      </c>
    </row>
    <row r="559" spans="1:8" x14ac:dyDescent="0.2">
      <c r="A559" s="2" t="s">
        <v>87</v>
      </c>
      <c r="B559" s="4">
        <v>190</v>
      </c>
      <c r="C559" s="5">
        <v>4.46</v>
      </c>
      <c r="D559" s="4">
        <v>145</v>
      </c>
      <c r="E559" s="5">
        <v>6.35</v>
      </c>
      <c r="F559" s="4">
        <v>35</v>
      </c>
      <c r="G559" s="5">
        <v>1.82</v>
      </c>
      <c r="H559" s="4">
        <v>1</v>
      </c>
    </row>
    <row r="560" spans="1:8" x14ac:dyDescent="0.2">
      <c r="A560" s="2" t="s">
        <v>88</v>
      </c>
      <c r="B560" s="4">
        <v>267</v>
      </c>
      <c r="C560" s="5">
        <v>6.27</v>
      </c>
      <c r="D560" s="4">
        <v>148</v>
      </c>
      <c r="E560" s="5">
        <v>6.48</v>
      </c>
      <c r="F560" s="4">
        <v>79</v>
      </c>
      <c r="G560" s="5">
        <v>4.0999999999999996</v>
      </c>
      <c r="H560" s="4">
        <v>0</v>
      </c>
    </row>
    <row r="561" spans="1:8" x14ac:dyDescent="0.2">
      <c r="A561" s="2" t="s">
        <v>89</v>
      </c>
      <c r="B561" s="4">
        <v>147</v>
      </c>
      <c r="C561" s="5">
        <v>3.45</v>
      </c>
      <c r="D561" s="4">
        <v>80</v>
      </c>
      <c r="E561" s="5">
        <v>3.5</v>
      </c>
      <c r="F561" s="4">
        <v>67</v>
      </c>
      <c r="G561" s="5">
        <v>3.48</v>
      </c>
      <c r="H561" s="4">
        <v>0</v>
      </c>
    </row>
    <row r="562" spans="1:8" x14ac:dyDescent="0.2">
      <c r="A562" s="1" t="s">
        <v>35</v>
      </c>
      <c r="B562" s="4">
        <v>8007</v>
      </c>
      <c r="C562" s="5">
        <v>100</v>
      </c>
      <c r="D562" s="4">
        <v>3625</v>
      </c>
      <c r="E562" s="5">
        <v>99.999999999999986</v>
      </c>
      <c r="F562" s="4">
        <v>4333</v>
      </c>
      <c r="G562" s="5">
        <v>99.990000000000009</v>
      </c>
      <c r="H562" s="4">
        <v>24</v>
      </c>
    </row>
    <row r="563" spans="1:8" x14ac:dyDescent="0.2">
      <c r="A563" s="2" t="s">
        <v>75</v>
      </c>
      <c r="B563" s="4">
        <v>0</v>
      </c>
      <c r="C563" s="5">
        <v>0</v>
      </c>
      <c r="D563" s="4">
        <v>0</v>
      </c>
      <c r="E563" s="5">
        <v>0</v>
      </c>
      <c r="F563" s="4">
        <v>0</v>
      </c>
      <c r="G563" s="5">
        <v>0</v>
      </c>
      <c r="H563" s="4">
        <v>0</v>
      </c>
    </row>
    <row r="564" spans="1:8" x14ac:dyDescent="0.2">
      <c r="A564" s="2" t="s">
        <v>76</v>
      </c>
      <c r="B564" s="4">
        <v>793</v>
      </c>
      <c r="C564" s="5">
        <v>9.9</v>
      </c>
      <c r="D564" s="4">
        <v>157</v>
      </c>
      <c r="E564" s="5">
        <v>4.33</v>
      </c>
      <c r="F564" s="4">
        <v>636</v>
      </c>
      <c r="G564" s="5">
        <v>14.68</v>
      </c>
      <c r="H564" s="4">
        <v>0</v>
      </c>
    </row>
    <row r="565" spans="1:8" x14ac:dyDescent="0.2">
      <c r="A565" s="2" t="s">
        <v>77</v>
      </c>
      <c r="B565" s="4">
        <v>875</v>
      </c>
      <c r="C565" s="5">
        <v>10.93</v>
      </c>
      <c r="D565" s="4">
        <v>256</v>
      </c>
      <c r="E565" s="5">
        <v>7.06</v>
      </c>
      <c r="F565" s="4">
        <v>618</v>
      </c>
      <c r="G565" s="5">
        <v>14.26</v>
      </c>
      <c r="H565" s="4">
        <v>0</v>
      </c>
    </row>
    <row r="566" spans="1:8" x14ac:dyDescent="0.2">
      <c r="A566" s="2" t="s">
        <v>78</v>
      </c>
      <c r="B566" s="4">
        <v>3</v>
      </c>
      <c r="C566" s="5">
        <v>0.04</v>
      </c>
      <c r="D566" s="4">
        <v>1</v>
      </c>
      <c r="E566" s="5">
        <v>0.03</v>
      </c>
      <c r="F566" s="4">
        <v>2</v>
      </c>
      <c r="G566" s="5">
        <v>0.05</v>
      </c>
      <c r="H566" s="4">
        <v>0</v>
      </c>
    </row>
    <row r="567" spans="1:8" x14ac:dyDescent="0.2">
      <c r="A567" s="2" t="s">
        <v>79</v>
      </c>
      <c r="B567" s="4">
        <v>88</v>
      </c>
      <c r="C567" s="5">
        <v>1.1000000000000001</v>
      </c>
      <c r="D567" s="4">
        <v>6</v>
      </c>
      <c r="E567" s="5">
        <v>0.17</v>
      </c>
      <c r="F567" s="4">
        <v>82</v>
      </c>
      <c r="G567" s="5">
        <v>1.89</v>
      </c>
      <c r="H567" s="4">
        <v>0</v>
      </c>
    </row>
    <row r="568" spans="1:8" x14ac:dyDescent="0.2">
      <c r="A568" s="2" t="s">
        <v>80</v>
      </c>
      <c r="B568" s="4">
        <v>90</v>
      </c>
      <c r="C568" s="5">
        <v>1.1200000000000001</v>
      </c>
      <c r="D568" s="4">
        <v>51</v>
      </c>
      <c r="E568" s="5">
        <v>1.41</v>
      </c>
      <c r="F568" s="4">
        <v>39</v>
      </c>
      <c r="G568" s="5">
        <v>0.9</v>
      </c>
      <c r="H568" s="4">
        <v>0</v>
      </c>
    </row>
    <row r="569" spans="1:8" x14ac:dyDescent="0.2">
      <c r="A569" s="2" t="s">
        <v>81</v>
      </c>
      <c r="B569" s="4">
        <v>1469</v>
      </c>
      <c r="C569" s="5">
        <v>18.350000000000001</v>
      </c>
      <c r="D569" s="4">
        <v>662</v>
      </c>
      <c r="E569" s="5">
        <v>18.260000000000002</v>
      </c>
      <c r="F569" s="4">
        <v>807</v>
      </c>
      <c r="G569" s="5">
        <v>18.62</v>
      </c>
      <c r="H569" s="4">
        <v>0</v>
      </c>
    </row>
    <row r="570" spans="1:8" x14ac:dyDescent="0.2">
      <c r="A570" s="2" t="s">
        <v>82</v>
      </c>
      <c r="B570" s="4">
        <v>30</v>
      </c>
      <c r="C570" s="5">
        <v>0.37</v>
      </c>
      <c r="D570" s="4">
        <v>4</v>
      </c>
      <c r="E570" s="5">
        <v>0.11</v>
      </c>
      <c r="F570" s="4">
        <v>26</v>
      </c>
      <c r="G570" s="5">
        <v>0.6</v>
      </c>
      <c r="H570" s="4">
        <v>0</v>
      </c>
    </row>
    <row r="571" spans="1:8" x14ac:dyDescent="0.2">
      <c r="A571" s="2" t="s">
        <v>83</v>
      </c>
      <c r="B571" s="4">
        <v>1293</v>
      </c>
      <c r="C571" s="5">
        <v>16.149999999999999</v>
      </c>
      <c r="D571" s="4">
        <v>235</v>
      </c>
      <c r="E571" s="5">
        <v>6.48</v>
      </c>
      <c r="F571" s="4">
        <v>1058</v>
      </c>
      <c r="G571" s="5">
        <v>24.42</v>
      </c>
      <c r="H571" s="4">
        <v>0</v>
      </c>
    </row>
    <row r="572" spans="1:8" x14ac:dyDescent="0.2">
      <c r="A572" s="2" t="s">
        <v>84</v>
      </c>
      <c r="B572" s="4">
        <v>423</v>
      </c>
      <c r="C572" s="5">
        <v>5.28</v>
      </c>
      <c r="D572" s="4">
        <v>180</v>
      </c>
      <c r="E572" s="5">
        <v>4.97</v>
      </c>
      <c r="F572" s="4">
        <v>242</v>
      </c>
      <c r="G572" s="5">
        <v>5.59</v>
      </c>
      <c r="H572" s="4">
        <v>1</v>
      </c>
    </row>
    <row r="573" spans="1:8" x14ac:dyDescent="0.2">
      <c r="A573" s="2" t="s">
        <v>85</v>
      </c>
      <c r="B573" s="4">
        <v>948</v>
      </c>
      <c r="C573" s="5">
        <v>11.84</v>
      </c>
      <c r="D573" s="4">
        <v>810</v>
      </c>
      <c r="E573" s="5">
        <v>22.34</v>
      </c>
      <c r="F573" s="4">
        <v>138</v>
      </c>
      <c r="G573" s="5">
        <v>3.18</v>
      </c>
      <c r="H573" s="4">
        <v>0</v>
      </c>
    </row>
    <row r="574" spans="1:8" x14ac:dyDescent="0.2">
      <c r="A574" s="2" t="s">
        <v>86</v>
      </c>
      <c r="B574" s="4">
        <v>870</v>
      </c>
      <c r="C574" s="5">
        <v>10.87</v>
      </c>
      <c r="D574" s="4">
        <v>657</v>
      </c>
      <c r="E574" s="5">
        <v>18.12</v>
      </c>
      <c r="F574" s="4">
        <v>212</v>
      </c>
      <c r="G574" s="5">
        <v>4.8899999999999997</v>
      </c>
      <c r="H574" s="4">
        <v>1</v>
      </c>
    </row>
    <row r="575" spans="1:8" x14ac:dyDescent="0.2">
      <c r="A575" s="2" t="s">
        <v>87</v>
      </c>
      <c r="B575" s="4">
        <v>344</v>
      </c>
      <c r="C575" s="5">
        <v>4.3</v>
      </c>
      <c r="D575" s="4">
        <v>216</v>
      </c>
      <c r="E575" s="5">
        <v>5.96</v>
      </c>
      <c r="F575" s="4">
        <v>124</v>
      </c>
      <c r="G575" s="5">
        <v>2.86</v>
      </c>
      <c r="H575" s="4">
        <v>3</v>
      </c>
    </row>
    <row r="576" spans="1:8" x14ac:dyDescent="0.2">
      <c r="A576" s="2" t="s">
        <v>88</v>
      </c>
      <c r="B576" s="4">
        <v>507</v>
      </c>
      <c r="C576" s="5">
        <v>6.33</v>
      </c>
      <c r="D576" s="4">
        <v>310</v>
      </c>
      <c r="E576" s="5">
        <v>8.5500000000000007</v>
      </c>
      <c r="F576" s="4">
        <v>176</v>
      </c>
      <c r="G576" s="5">
        <v>4.0599999999999996</v>
      </c>
      <c r="H576" s="4">
        <v>0</v>
      </c>
    </row>
    <row r="577" spans="1:8" x14ac:dyDescent="0.2">
      <c r="A577" s="2" t="s">
        <v>89</v>
      </c>
      <c r="B577" s="4">
        <v>274</v>
      </c>
      <c r="C577" s="5">
        <v>3.42</v>
      </c>
      <c r="D577" s="4">
        <v>80</v>
      </c>
      <c r="E577" s="5">
        <v>2.21</v>
      </c>
      <c r="F577" s="4">
        <v>173</v>
      </c>
      <c r="G577" s="5">
        <v>3.99</v>
      </c>
      <c r="H577" s="4">
        <v>19</v>
      </c>
    </row>
    <row r="578" spans="1:8" x14ac:dyDescent="0.2">
      <c r="A578" s="1" t="s">
        <v>36</v>
      </c>
      <c r="B578" s="4">
        <v>2193</v>
      </c>
      <c r="C578" s="5">
        <v>99.999999999999986</v>
      </c>
      <c r="D578" s="4">
        <v>1131</v>
      </c>
      <c r="E578" s="5">
        <v>100.01</v>
      </c>
      <c r="F578" s="4">
        <v>1055</v>
      </c>
      <c r="G578" s="5">
        <v>100</v>
      </c>
      <c r="H578" s="4">
        <v>4</v>
      </c>
    </row>
    <row r="579" spans="1:8" x14ac:dyDescent="0.2">
      <c r="A579" s="2" t="s">
        <v>75</v>
      </c>
      <c r="B579" s="4">
        <v>0</v>
      </c>
      <c r="C579" s="5">
        <v>0</v>
      </c>
      <c r="D579" s="4">
        <v>0</v>
      </c>
      <c r="E579" s="5">
        <v>0</v>
      </c>
      <c r="F579" s="4">
        <v>0</v>
      </c>
      <c r="G579" s="5">
        <v>0</v>
      </c>
      <c r="H579" s="4">
        <v>0</v>
      </c>
    </row>
    <row r="580" spans="1:8" x14ac:dyDescent="0.2">
      <c r="A580" s="2" t="s">
        <v>76</v>
      </c>
      <c r="B580" s="4">
        <v>236</v>
      </c>
      <c r="C580" s="5">
        <v>10.76</v>
      </c>
      <c r="D580" s="4">
        <v>42</v>
      </c>
      <c r="E580" s="5">
        <v>3.71</v>
      </c>
      <c r="F580" s="4">
        <v>194</v>
      </c>
      <c r="G580" s="5">
        <v>18.39</v>
      </c>
      <c r="H580" s="4">
        <v>0</v>
      </c>
    </row>
    <row r="581" spans="1:8" x14ac:dyDescent="0.2">
      <c r="A581" s="2" t="s">
        <v>77</v>
      </c>
      <c r="B581" s="4">
        <v>83</v>
      </c>
      <c r="C581" s="5">
        <v>3.78</v>
      </c>
      <c r="D581" s="4">
        <v>21</v>
      </c>
      <c r="E581" s="5">
        <v>1.86</v>
      </c>
      <c r="F581" s="4">
        <v>62</v>
      </c>
      <c r="G581" s="5">
        <v>5.88</v>
      </c>
      <c r="H581" s="4">
        <v>0</v>
      </c>
    </row>
    <row r="582" spans="1:8" x14ac:dyDescent="0.2">
      <c r="A582" s="2" t="s">
        <v>78</v>
      </c>
      <c r="B582" s="4">
        <v>4</v>
      </c>
      <c r="C582" s="5">
        <v>0.18</v>
      </c>
      <c r="D582" s="4">
        <v>0</v>
      </c>
      <c r="E582" s="5">
        <v>0</v>
      </c>
      <c r="F582" s="4">
        <v>4</v>
      </c>
      <c r="G582" s="5">
        <v>0.38</v>
      </c>
      <c r="H582" s="4">
        <v>0</v>
      </c>
    </row>
    <row r="583" spans="1:8" x14ac:dyDescent="0.2">
      <c r="A583" s="2" t="s">
        <v>79</v>
      </c>
      <c r="B583" s="4">
        <v>23</v>
      </c>
      <c r="C583" s="5">
        <v>1.05</v>
      </c>
      <c r="D583" s="4">
        <v>3</v>
      </c>
      <c r="E583" s="5">
        <v>0.27</v>
      </c>
      <c r="F583" s="4">
        <v>20</v>
      </c>
      <c r="G583" s="5">
        <v>1.9</v>
      </c>
      <c r="H583" s="4">
        <v>0</v>
      </c>
    </row>
    <row r="584" spans="1:8" x14ac:dyDescent="0.2">
      <c r="A584" s="2" t="s">
        <v>80</v>
      </c>
      <c r="B584" s="4">
        <v>23</v>
      </c>
      <c r="C584" s="5">
        <v>1.05</v>
      </c>
      <c r="D584" s="4">
        <v>5</v>
      </c>
      <c r="E584" s="5">
        <v>0.44</v>
      </c>
      <c r="F584" s="4">
        <v>17</v>
      </c>
      <c r="G584" s="5">
        <v>1.61</v>
      </c>
      <c r="H584" s="4">
        <v>1</v>
      </c>
    </row>
    <row r="585" spans="1:8" x14ac:dyDescent="0.2">
      <c r="A585" s="2" t="s">
        <v>81</v>
      </c>
      <c r="B585" s="4">
        <v>443</v>
      </c>
      <c r="C585" s="5">
        <v>20.2</v>
      </c>
      <c r="D585" s="4">
        <v>235</v>
      </c>
      <c r="E585" s="5">
        <v>20.78</v>
      </c>
      <c r="F585" s="4">
        <v>207</v>
      </c>
      <c r="G585" s="5">
        <v>19.62</v>
      </c>
      <c r="H585" s="4">
        <v>1</v>
      </c>
    </row>
    <row r="586" spans="1:8" x14ac:dyDescent="0.2">
      <c r="A586" s="2" t="s">
        <v>82</v>
      </c>
      <c r="B586" s="4">
        <v>11</v>
      </c>
      <c r="C586" s="5">
        <v>0.5</v>
      </c>
      <c r="D586" s="4">
        <v>2</v>
      </c>
      <c r="E586" s="5">
        <v>0.18</v>
      </c>
      <c r="F586" s="4">
        <v>9</v>
      </c>
      <c r="G586" s="5">
        <v>0.85</v>
      </c>
      <c r="H586" s="4">
        <v>0</v>
      </c>
    </row>
    <row r="587" spans="1:8" x14ac:dyDescent="0.2">
      <c r="A587" s="2" t="s">
        <v>83</v>
      </c>
      <c r="B587" s="4">
        <v>365</v>
      </c>
      <c r="C587" s="5">
        <v>16.64</v>
      </c>
      <c r="D587" s="4">
        <v>111</v>
      </c>
      <c r="E587" s="5">
        <v>9.81</v>
      </c>
      <c r="F587" s="4">
        <v>254</v>
      </c>
      <c r="G587" s="5">
        <v>24.08</v>
      </c>
      <c r="H587" s="4">
        <v>0</v>
      </c>
    </row>
    <row r="588" spans="1:8" x14ac:dyDescent="0.2">
      <c r="A588" s="2" t="s">
        <v>84</v>
      </c>
      <c r="B588" s="4">
        <v>123</v>
      </c>
      <c r="C588" s="5">
        <v>5.61</v>
      </c>
      <c r="D588" s="4">
        <v>56</v>
      </c>
      <c r="E588" s="5">
        <v>4.95</v>
      </c>
      <c r="F588" s="4">
        <v>67</v>
      </c>
      <c r="G588" s="5">
        <v>6.35</v>
      </c>
      <c r="H588" s="4">
        <v>0</v>
      </c>
    </row>
    <row r="589" spans="1:8" x14ac:dyDescent="0.2">
      <c r="A589" s="2" t="s">
        <v>85</v>
      </c>
      <c r="B589" s="4">
        <v>341</v>
      </c>
      <c r="C589" s="5">
        <v>15.55</v>
      </c>
      <c r="D589" s="4">
        <v>287</v>
      </c>
      <c r="E589" s="5">
        <v>25.38</v>
      </c>
      <c r="F589" s="4">
        <v>54</v>
      </c>
      <c r="G589" s="5">
        <v>5.12</v>
      </c>
      <c r="H589" s="4">
        <v>0</v>
      </c>
    </row>
    <row r="590" spans="1:8" x14ac:dyDescent="0.2">
      <c r="A590" s="2" t="s">
        <v>86</v>
      </c>
      <c r="B590" s="4">
        <v>244</v>
      </c>
      <c r="C590" s="5">
        <v>11.13</v>
      </c>
      <c r="D590" s="4">
        <v>189</v>
      </c>
      <c r="E590" s="5">
        <v>16.71</v>
      </c>
      <c r="F590" s="4">
        <v>55</v>
      </c>
      <c r="G590" s="5">
        <v>5.21</v>
      </c>
      <c r="H590" s="4">
        <v>0</v>
      </c>
    </row>
    <row r="591" spans="1:8" x14ac:dyDescent="0.2">
      <c r="A591" s="2" t="s">
        <v>87</v>
      </c>
      <c r="B591" s="4">
        <v>92</v>
      </c>
      <c r="C591" s="5">
        <v>4.2</v>
      </c>
      <c r="D591" s="4">
        <v>66</v>
      </c>
      <c r="E591" s="5">
        <v>5.84</v>
      </c>
      <c r="F591" s="4">
        <v>26</v>
      </c>
      <c r="G591" s="5">
        <v>2.46</v>
      </c>
      <c r="H591" s="4">
        <v>0</v>
      </c>
    </row>
    <row r="592" spans="1:8" x14ac:dyDescent="0.2">
      <c r="A592" s="2" t="s">
        <v>88</v>
      </c>
      <c r="B592" s="4">
        <v>137</v>
      </c>
      <c r="C592" s="5">
        <v>6.25</v>
      </c>
      <c r="D592" s="4">
        <v>90</v>
      </c>
      <c r="E592" s="5">
        <v>7.96</v>
      </c>
      <c r="F592" s="4">
        <v>46</v>
      </c>
      <c r="G592" s="5">
        <v>4.3600000000000003</v>
      </c>
      <c r="H592" s="4">
        <v>0</v>
      </c>
    </row>
    <row r="593" spans="1:8" x14ac:dyDescent="0.2">
      <c r="A593" s="2" t="s">
        <v>89</v>
      </c>
      <c r="B593" s="4">
        <v>68</v>
      </c>
      <c r="C593" s="5">
        <v>3.1</v>
      </c>
      <c r="D593" s="4">
        <v>24</v>
      </c>
      <c r="E593" s="5">
        <v>2.12</v>
      </c>
      <c r="F593" s="4">
        <v>40</v>
      </c>
      <c r="G593" s="5">
        <v>3.79</v>
      </c>
      <c r="H593" s="4">
        <v>2</v>
      </c>
    </row>
    <row r="594" spans="1:8" x14ac:dyDescent="0.2">
      <c r="A594" s="1" t="s">
        <v>37</v>
      </c>
      <c r="B594" s="4">
        <v>6104</v>
      </c>
      <c r="C594" s="5">
        <v>100.00000000000001</v>
      </c>
      <c r="D594" s="4">
        <v>2273</v>
      </c>
      <c r="E594" s="5">
        <v>99.99</v>
      </c>
      <c r="F594" s="4">
        <v>3755</v>
      </c>
      <c r="G594" s="5">
        <v>100.01999999999998</v>
      </c>
      <c r="H594" s="4">
        <v>32</v>
      </c>
    </row>
    <row r="595" spans="1:8" x14ac:dyDescent="0.2">
      <c r="A595" s="2" t="s">
        <v>75</v>
      </c>
      <c r="B595" s="4">
        <v>1</v>
      </c>
      <c r="C595" s="5">
        <v>0.02</v>
      </c>
      <c r="D595" s="4">
        <v>0</v>
      </c>
      <c r="E595" s="5">
        <v>0</v>
      </c>
      <c r="F595" s="4">
        <v>1</v>
      </c>
      <c r="G595" s="5">
        <v>0.03</v>
      </c>
      <c r="H595" s="4">
        <v>0</v>
      </c>
    </row>
    <row r="596" spans="1:8" x14ac:dyDescent="0.2">
      <c r="A596" s="2" t="s">
        <v>76</v>
      </c>
      <c r="B596" s="4">
        <v>616</v>
      </c>
      <c r="C596" s="5">
        <v>10.09</v>
      </c>
      <c r="D596" s="4">
        <v>69</v>
      </c>
      <c r="E596" s="5">
        <v>3.04</v>
      </c>
      <c r="F596" s="4">
        <v>547</v>
      </c>
      <c r="G596" s="5">
        <v>14.57</v>
      </c>
      <c r="H596" s="4">
        <v>0</v>
      </c>
    </row>
    <row r="597" spans="1:8" x14ac:dyDescent="0.2">
      <c r="A597" s="2" t="s">
        <v>77</v>
      </c>
      <c r="B597" s="4">
        <v>307</v>
      </c>
      <c r="C597" s="5">
        <v>5.03</v>
      </c>
      <c r="D597" s="4">
        <v>53</v>
      </c>
      <c r="E597" s="5">
        <v>2.33</v>
      </c>
      <c r="F597" s="4">
        <v>254</v>
      </c>
      <c r="G597" s="5">
        <v>6.76</v>
      </c>
      <c r="H597" s="4">
        <v>0</v>
      </c>
    </row>
    <row r="598" spans="1:8" x14ac:dyDescent="0.2">
      <c r="A598" s="2" t="s">
        <v>78</v>
      </c>
      <c r="B598" s="4">
        <v>6</v>
      </c>
      <c r="C598" s="5">
        <v>0.1</v>
      </c>
      <c r="D598" s="4">
        <v>0</v>
      </c>
      <c r="E598" s="5">
        <v>0</v>
      </c>
      <c r="F598" s="4">
        <v>4</v>
      </c>
      <c r="G598" s="5">
        <v>0.11</v>
      </c>
      <c r="H598" s="4">
        <v>0</v>
      </c>
    </row>
    <row r="599" spans="1:8" x14ac:dyDescent="0.2">
      <c r="A599" s="2" t="s">
        <v>79</v>
      </c>
      <c r="B599" s="4">
        <v>116</v>
      </c>
      <c r="C599" s="5">
        <v>1.9</v>
      </c>
      <c r="D599" s="4">
        <v>3</v>
      </c>
      <c r="E599" s="5">
        <v>0.13</v>
      </c>
      <c r="F599" s="4">
        <v>113</v>
      </c>
      <c r="G599" s="5">
        <v>3.01</v>
      </c>
      <c r="H599" s="4">
        <v>0</v>
      </c>
    </row>
    <row r="600" spans="1:8" x14ac:dyDescent="0.2">
      <c r="A600" s="2" t="s">
        <v>80</v>
      </c>
      <c r="B600" s="4">
        <v>49</v>
      </c>
      <c r="C600" s="5">
        <v>0.8</v>
      </c>
      <c r="D600" s="4">
        <v>20</v>
      </c>
      <c r="E600" s="5">
        <v>0.88</v>
      </c>
      <c r="F600" s="4">
        <v>29</v>
      </c>
      <c r="G600" s="5">
        <v>0.77</v>
      </c>
      <c r="H600" s="4">
        <v>0</v>
      </c>
    </row>
    <row r="601" spans="1:8" x14ac:dyDescent="0.2">
      <c r="A601" s="2" t="s">
        <v>81</v>
      </c>
      <c r="B601" s="4">
        <v>1325</v>
      </c>
      <c r="C601" s="5">
        <v>21.71</v>
      </c>
      <c r="D601" s="4">
        <v>454</v>
      </c>
      <c r="E601" s="5">
        <v>19.97</v>
      </c>
      <c r="F601" s="4">
        <v>871</v>
      </c>
      <c r="G601" s="5">
        <v>23.2</v>
      </c>
      <c r="H601" s="4">
        <v>0</v>
      </c>
    </row>
    <row r="602" spans="1:8" x14ac:dyDescent="0.2">
      <c r="A602" s="2" t="s">
        <v>82</v>
      </c>
      <c r="B602" s="4">
        <v>40</v>
      </c>
      <c r="C602" s="5">
        <v>0.66</v>
      </c>
      <c r="D602" s="4">
        <v>9</v>
      </c>
      <c r="E602" s="5">
        <v>0.4</v>
      </c>
      <c r="F602" s="4">
        <v>31</v>
      </c>
      <c r="G602" s="5">
        <v>0.83</v>
      </c>
      <c r="H602" s="4">
        <v>0</v>
      </c>
    </row>
    <row r="603" spans="1:8" x14ac:dyDescent="0.2">
      <c r="A603" s="2" t="s">
        <v>83</v>
      </c>
      <c r="B603" s="4">
        <v>1076</v>
      </c>
      <c r="C603" s="5">
        <v>17.63</v>
      </c>
      <c r="D603" s="4">
        <v>131</v>
      </c>
      <c r="E603" s="5">
        <v>5.76</v>
      </c>
      <c r="F603" s="4">
        <v>944</v>
      </c>
      <c r="G603" s="5">
        <v>25.14</v>
      </c>
      <c r="H603" s="4">
        <v>1</v>
      </c>
    </row>
    <row r="604" spans="1:8" x14ac:dyDescent="0.2">
      <c r="A604" s="2" t="s">
        <v>84</v>
      </c>
      <c r="B604" s="4">
        <v>436</v>
      </c>
      <c r="C604" s="5">
        <v>7.14</v>
      </c>
      <c r="D604" s="4">
        <v>175</v>
      </c>
      <c r="E604" s="5">
        <v>7.7</v>
      </c>
      <c r="F604" s="4">
        <v>260</v>
      </c>
      <c r="G604" s="5">
        <v>6.92</v>
      </c>
      <c r="H604" s="4">
        <v>1</v>
      </c>
    </row>
    <row r="605" spans="1:8" x14ac:dyDescent="0.2">
      <c r="A605" s="2" t="s">
        <v>85</v>
      </c>
      <c r="B605" s="4">
        <v>613</v>
      </c>
      <c r="C605" s="5">
        <v>10.039999999999999</v>
      </c>
      <c r="D605" s="4">
        <v>483</v>
      </c>
      <c r="E605" s="5">
        <v>21.25</v>
      </c>
      <c r="F605" s="4">
        <v>129</v>
      </c>
      <c r="G605" s="5">
        <v>3.44</v>
      </c>
      <c r="H605" s="4">
        <v>1</v>
      </c>
    </row>
    <row r="606" spans="1:8" x14ac:dyDescent="0.2">
      <c r="A606" s="2" t="s">
        <v>86</v>
      </c>
      <c r="B606" s="4">
        <v>641</v>
      </c>
      <c r="C606" s="5">
        <v>10.5</v>
      </c>
      <c r="D606" s="4">
        <v>439</v>
      </c>
      <c r="E606" s="5">
        <v>19.309999999999999</v>
      </c>
      <c r="F606" s="4">
        <v>201</v>
      </c>
      <c r="G606" s="5">
        <v>5.35</v>
      </c>
      <c r="H606" s="4">
        <v>1</v>
      </c>
    </row>
    <row r="607" spans="1:8" x14ac:dyDescent="0.2">
      <c r="A607" s="2" t="s">
        <v>87</v>
      </c>
      <c r="B607" s="4">
        <v>306</v>
      </c>
      <c r="C607" s="5">
        <v>5.01</v>
      </c>
      <c r="D607" s="4">
        <v>162</v>
      </c>
      <c r="E607" s="5">
        <v>7.13</v>
      </c>
      <c r="F607" s="4">
        <v>93</v>
      </c>
      <c r="G607" s="5">
        <v>2.48</v>
      </c>
      <c r="H607" s="4">
        <v>17</v>
      </c>
    </row>
    <row r="608" spans="1:8" x14ac:dyDescent="0.2">
      <c r="A608" s="2" t="s">
        <v>88</v>
      </c>
      <c r="B608" s="4">
        <v>384</v>
      </c>
      <c r="C608" s="5">
        <v>6.29</v>
      </c>
      <c r="D608" s="4">
        <v>239</v>
      </c>
      <c r="E608" s="5">
        <v>10.51</v>
      </c>
      <c r="F608" s="4">
        <v>135</v>
      </c>
      <c r="G608" s="5">
        <v>3.6</v>
      </c>
      <c r="H608" s="4">
        <v>2</v>
      </c>
    </row>
    <row r="609" spans="1:8" x14ac:dyDescent="0.2">
      <c r="A609" s="2" t="s">
        <v>89</v>
      </c>
      <c r="B609" s="4">
        <v>188</v>
      </c>
      <c r="C609" s="5">
        <v>3.08</v>
      </c>
      <c r="D609" s="4">
        <v>36</v>
      </c>
      <c r="E609" s="5">
        <v>1.58</v>
      </c>
      <c r="F609" s="4">
        <v>143</v>
      </c>
      <c r="G609" s="5">
        <v>3.81</v>
      </c>
      <c r="H609" s="4">
        <v>9</v>
      </c>
    </row>
    <row r="610" spans="1:8" x14ac:dyDescent="0.2">
      <c r="A610" s="1" t="s">
        <v>38</v>
      </c>
      <c r="B610" s="4">
        <v>1835</v>
      </c>
      <c r="C610" s="5">
        <v>100.00999999999999</v>
      </c>
      <c r="D610" s="4">
        <v>1080</v>
      </c>
      <c r="E610" s="5">
        <v>100.00000000000001</v>
      </c>
      <c r="F610" s="4">
        <v>750</v>
      </c>
      <c r="G610" s="5">
        <v>99.990000000000009</v>
      </c>
      <c r="H610" s="4">
        <v>1</v>
      </c>
    </row>
    <row r="611" spans="1:8" x14ac:dyDescent="0.2">
      <c r="A611" s="2" t="s">
        <v>75</v>
      </c>
      <c r="B611" s="4">
        <v>0</v>
      </c>
      <c r="C611" s="5">
        <v>0</v>
      </c>
      <c r="D611" s="4">
        <v>0</v>
      </c>
      <c r="E611" s="5">
        <v>0</v>
      </c>
      <c r="F611" s="4">
        <v>0</v>
      </c>
      <c r="G611" s="5">
        <v>0</v>
      </c>
      <c r="H611" s="4">
        <v>0</v>
      </c>
    </row>
    <row r="612" spans="1:8" x14ac:dyDescent="0.2">
      <c r="A612" s="2" t="s">
        <v>76</v>
      </c>
      <c r="B612" s="4">
        <v>158</v>
      </c>
      <c r="C612" s="5">
        <v>8.61</v>
      </c>
      <c r="D612" s="4">
        <v>48</v>
      </c>
      <c r="E612" s="5">
        <v>4.4400000000000004</v>
      </c>
      <c r="F612" s="4">
        <v>110</v>
      </c>
      <c r="G612" s="5">
        <v>14.67</v>
      </c>
      <c r="H612" s="4">
        <v>0</v>
      </c>
    </row>
    <row r="613" spans="1:8" x14ac:dyDescent="0.2">
      <c r="A613" s="2" t="s">
        <v>77</v>
      </c>
      <c r="B613" s="4">
        <v>216</v>
      </c>
      <c r="C613" s="5">
        <v>11.77</v>
      </c>
      <c r="D613" s="4">
        <v>103</v>
      </c>
      <c r="E613" s="5">
        <v>9.5399999999999991</v>
      </c>
      <c r="F613" s="4">
        <v>113</v>
      </c>
      <c r="G613" s="5">
        <v>15.07</v>
      </c>
      <c r="H613" s="4">
        <v>0</v>
      </c>
    </row>
    <row r="614" spans="1:8" x14ac:dyDescent="0.2">
      <c r="A614" s="2" t="s">
        <v>78</v>
      </c>
      <c r="B614" s="4">
        <v>3</v>
      </c>
      <c r="C614" s="5">
        <v>0.16</v>
      </c>
      <c r="D614" s="4">
        <v>0</v>
      </c>
      <c r="E614" s="5">
        <v>0</v>
      </c>
      <c r="F614" s="4">
        <v>1</v>
      </c>
      <c r="G614" s="5">
        <v>0.13</v>
      </c>
      <c r="H614" s="4">
        <v>0</v>
      </c>
    </row>
    <row r="615" spans="1:8" x14ac:dyDescent="0.2">
      <c r="A615" s="2" t="s">
        <v>79</v>
      </c>
      <c r="B615" s="4">
        <v>13</v>
      </c>
      <c r="C615" s="5">
        <v>0.71</v>
      </c>
      <c r="D615" s="4">
        <v>2</v>
      </c>
      <c r="E615" s="5">
        <v>0.19</v>
      </c>
      <c r="F615" s="4">
        <v>11</v>
      </c>
      <c r="G615" s="5">
        <v>1.47</v>
      </c>
      <c r="H615" s="4">
        <v>0</v>
      </c>
    </row>
    <row r="616" spans="1:8" x14ac:dyDescent="0.2">
      <c r="A616" s="2" t="s">
        <v>80</v>
      </c>
      <c r="B616" s="4">
        <v>42</v>
      </c>
      <c r="C616" s="5">
        <v>2.29</v>
      </c>
      <c r="D616" s="4">
        <v>3</v>
      </c>
      <c r="E616" s="5">
        <v>0.28000000000000003</v>
      </c>
      <c r="F616" s="4">
        <v>39</v>
      </c>
      <c r="G616" s="5">
        <v>5.2</v>
      </c>
      <c r="H616" s="4">
        <v>0</v>
      </c>
    </row>
    <row r="617" spans="1:8" x14ac:dyDescent="0.2">
      <c r="A617" s="2" t="s">
        <v>81</v>
      </c>
      <c r="B617" s="4">
        <v>342</v>
      </c>
      <c r="C617" s="5">
        <v>18.64</v>
      </c>
      <c r="D617" s="4">
        <v>191</v>
      </c>
      <c r="E617" s="5">
        <v>17.690000000000001</v>
      </c>
      <c r="F617" s="4">
        <v>151</v>
      </c>
      <c r="G617" s="5">
        <v>20.13</v>
      </c>
      <c r="H617" s="4">
        <v>0</v>
      </c>
    </row>
    <row r="618" spans="1:8" x14ac:dyDescent="0.2">
      <c r="A618" s="2" t="s">
        <v>82</v>
      </c>
      <c r="B618" s="4">
        <v>9</v>
      </c>
      <c r="C618" s="5">
        <v>0.49</v>
      </c>
      <c r="D618" s="4">
        <v>3</v>
      </c>
      <c r="E618" s="5">
        <v>0.28000000000000003</v>
      </c>
      <c r="F618" s="4">
        <v>6</v>
      </c>
      <c r="G618" s="5">
        <v>0.8</v>
      </c>
      <c r="H618" s="4">
        <v>0</v>
      </c>
    </row>
    <row r="619" spans="1:8" x14ac:dyDescent="0.2">
      <c r="A619" s="2" t="s">
        <v>83</v>
      </c>
      <c r="B619" s="4">
        <v>347</v>
      </c>
      <c r="C619" s="5">
        <v>18.91</v>
      </c>
      <c r="D619" s="4">
        <v>171</v>
      </c>
      <c r="E619" s="5">
        <v>15.83</v>
      </c>
      <c r="F619" s="4">
        <v>175</v>
      </c>
      <c r="G619" s="5">
        <v>23.33</v>
      </c>
      <c r="H619" s="4">
        <v>1</v>
      </c>
    </row>
    <row r="620" spans="1:8" x14ac:dyDescent="0.2">
      <c r="A620" s="2" t="s">
        <v>84</v>
      </c>
      <c r="B620" s="4">
        <v>60</v>
      </c>
      <c r="C620" s="5">
        <v>3.27</v>
      </c>
      <c r="D620" s="4">
        <v>39</v>
      </c>
      <c r="E620" s="5">
        <v>3.61</v>
      </c>
      <c r="F620" s="4">
        <v>21</v>
      </c>
      <c r="G620" s="5">
        <v>2.8</v>
      </c>
      <c r="H620" s="4">
        <v>0</v>
      </c>
    </row>
    <row r="621" spans="1:8" x14ac:dyDescent="0.2">
      <c r="A621" s="2" t="s">
        <v>85</v>
      </c>
      <c r="B621" s="4">
        <v>258</v>
      </c>
      <c r="C621" s="5">
        <v>14.06</v>
      </c>
      <c r="D621" s="4">
        <v>236</v>
      </c>
      <c r="E621" s="5">
        <v>21.85</v>
      </c>
      <c r="F621" s="4">
        <v>22</v>
      </c>
      <c r="G621" s="5">
        <v>2.93</v>
      </c>
      <c r="H621" s="4">
        <v>0</v>
      </c>
    </row>
    <row r="622" spans="1:8" x14ac:dyDescent="0.2">
      <c r="A622" s="2" t="s">
        <v>86</v>
      </c>
      <c r="B622" s="4">
        <v>166</v>
      </c>
      <c r="C622" s="5">
        <v>9.0500000000000007</v>
      </c>
      <c r="D622" s="4">
        <v>133</v>
      </c>
      <c r="E622" s="5">
        <v>12.31</v>
      </c>
      <c r="F622" s="4">
        <v>33</v>
      </c>
      <c r="G622" s="5">
        <v>4.4000000000000004</v>
      </c>
      <c r="H622" s="4">
        <v>0</v>
      </c>
    </row>
    <row r="623" spans="1:8" x14ac:dyDescent="0.2">
      <c r="A623" s="2" t="s">
        <v>87</v>
      </c>
      <c r="B623" s="4">
        <v>71</v>
      </c>
      <c r="C623" s="5">
        <v>3.87</v>
      </c>
      <c r="D623" s="4">
        <v>55</v>
      </c>
      <c r="E623" s="5">
        <v>5.09</v>
      </c>
      <c r="F623" s="4">
        <v>16</v>
      </c>
      <c r="G623" s="5">
        <v>2.13</v>
      </c>
      <c r="H623" s="4">
        <v>0</v>
      </c>
    </row>
    <row r="624" spans="1:8" x14ac:dyDescent="0.2">
      <c r="A624" s="2" t="s">
        <v>88</v>
      </c>
      <c r="B624" s="4">
        <v>86</v>
      </c>
      <c r="C624" s="5">
        <v>4.6900000000000004</v>
      </c>
      <c r="D624" s="4">
        <v>62</v>
      </c>
      <c r="E624" s="5">
        <v>5.74</v>
      </c>
      <c r="F624" s="4">
        <v>24</v>
      </c>
      <c r="G624" s="5">
        <v>3.2</v>
      </c>
      <c r="H624" s="4">
        <v>0</v>
      </c>
    </row>
    <row r="625" spans="1:8" x14ac:dyDescent="0.2">
      <c r="A625" s="2" t="s">
        <v>89</v>
      </c>
      <c r="B625" s="4">
        <v>64</v>
      </c>
      <c r="C625" s="5">
        <v>3.49</v>
      </c>
      <c r="D625" s="4">
        <v>34</v>
      </c>
      <c r="E625" s="5">
        <v>3.15</v>
      </c>
      <c r="F625" s="4">
        <v>28</v>
      </c>
      <c r="G625" s="5">
        <v>3.73</v>
      </c>
      <c r="H625" s="4">
        <v>0</v>
      </c>
    </row>
    <row r="626" spans="1:8" x14ac:dyDescent="0.2">
      <c r="A626" s="1" t="s">
        <v>39</v>
      </c>
      <c r="B626" s="4">
        <v>5260</v>
      </c>
      <c r="C626" s="5">
        <v>100</v>
      </c>
      <c r="D626" s="4">
        <v>2530</v>
      </c>
      <c r="E626" s="5">
        <v>100.01</v>
      </c>
      <c r="F626" s="4">
        <v>2694</v>
      </c>
      <c r="G626" s="5">
        <v>99.99</v>
      </c>
      <c r="H626" s="4">
        <v>8</v>
      </c>
    </row>
    <row r="627" spans="1:8" x14ac:dyDescent="0.2">
      <c r="A627" s="2" t="s">
        <v>75</v>
      </c>
      <c r="B627" s="4">
        <v>0</v>
      </c>
      <c r="C627" s="5">
        <v>0</v>
      </c>
      <c r="D627" s="4">
        <v>0</v>
      </c>
      <c r="E627" s="5">
        <v>0</v>
      </c>
      <c r="F627" s="4">
        <v>0</v>
      </c>
      <c r="G627" s="5">
        <v>0</v>
      </c>
      <c r="H627" s="4">
        <v>0</v>
      </c>
    </row>
    <row r="628" spans="1:8" x14ac:dyDescent="0.2">
      <c r="A628" s="2" t="s">
        <v>76</v>
      </c>
      <c r="B628" s="4">
        <v>664</v>
      </c>
      <c r="C628" s="5">
        <v>12.62</v>
      </c>
      <c r="D628" s="4">
        <v>112</v>
      </c>
      <c r="E628" s="5">
        <v>4.43</v>
      </c>
      <c r="F628" s="4">
        <v>552</v>
      </c>
      <c r="G628" s="5">
        <v>20.49</v>
      </c>
      <c r="H628" s="4">
        <v>0</v>
      </c>
    </row>
    <row r="629" spans="1:8" x14ac:dyDescent="0.2">
      <c r="A629" s="2" t="s">
        <v>77</v>
      </c>
      <c r="B629" s="4">
        <v>243</v>
      </c>
      <c r="C629" s="5">
        <v>4.62</v>
      </c>
      <c r="D629" s="4">
        <v>61</v>
      </c>
      <c r="E629" s="5">
        <v>2.41</v>
      </c>
      <c r="F629" s="4">
        <v>182</v>
      </c>
      <c r="G629" s="5">
        <v>6.76</v>
      </c>
      <c r="H629" s="4">
        <v>0</v>
      </c>
    </row>
    <row r="630" spans="1:8" x14ac:dyDescent="0.2">
      <c r="A630" s="2" t="s">
        <v>78</v>
      </c>
      <c r="B630" s="4">
        <v>5</v>
      </c>
      <c r="C630" s="5">
        <v>0.1</v>
      </c>
      <c r="D630" s="4">
        <v>0</v>
      </c>
      <c r="E630" s="5">
        <v>0</v>
      </c>
      <c r="F630" s="4">
        <v>5</v>
      </c>
      <c r="G630" s="5">
        <v>0.19</v>
      </c>
      <c r="H630" s="4">
        <v>0</v>
      </c>
    </row>
    <row r="631" spans="1:8" x14ac:dyDescent="0.2">
      <c r="A631" s="2" t="s">
        <v>79</v>
      </c>
      <c r="B631" s="4">
        <v>49</v>
      </c>
      <c r="C631" s="5">
        <v>0.93</v>
      </c>
      <c r="D631" s="4">
        <v>2</v>
      </c>
      <c r="E631" s="5">
        <v>0.08</v>
      </c>
      <c r="F631" s="4">
        <v>47</v>
      </c>
      <c r="G631" s="5">
        <v>1.74</v>
      </c>
      <c r="H631" s="4">
        <v>0</v>
      </c>
    </row>
    <row r="632" spans="1:8" x14ac:dyDescent="0.2">
      <c r="A632" s="2" t="s">
        <v>80</v>
      </c>
      <c r="B632" s="4">
        <v>67</v>
      </c>
      <c r="C632" s="5">
        <v>1.27</v>
      </c>
      <c r="D632" s="4">
        <v>16</v>
      </c>
      <c r="E632" s="5">
        <v>0.63</v>
      </c>
      <c r="F632" s="4">
        <v>51</v>
      </c>
      <c r="G632" s="5">
        <v>1.89</v>
      </c>
      <c r="H632" s="4">
        <v>0</v>
      </c>
    </row>
    <row r="633" spans="1:8" x14ac:dyDescent="0.2">
      <c r="A633" s="2" t="s">
        <v>81</v>
      </c>
      <c r="B633" s="4">
        <v>1064</v>
      </c>
      <c r="C633" s="5">
        <v>20.23</v>
      </c>
      <c r="D633" s="4">
        <v>503</v>
      </c>
      <c r="E633" s="5">
        <v>19.88</v>
      </c>
      <c r="F633" s="4">
        <v>561</v>
      </c>
      <c r="G633" s="5">
        <v>20.82</v>
      </c>
      <c r="H633" s="4">
        <v>0</v>
      </c>
    </row>
    <row r="634" spans="1:8" x14ac:dyDescent="0.2">
      <c r="A634" s="2" t="s">
        <v>82</v>
      </c>
      <c r="B634" s="4">
        <v>33</v>
      </c>
      <c r="C634" s="5">
        <v>0.63</v>
      </c>
      <c r="D634" s="4">
        <v>3</v>
      </c>
      <c r="E634" s="5">
        <v>0.12</v>
      </c>
      <c r="F634" s="4">
        <v>30</v>
      </c>
      <c r="G634" s="5">
        <v>1.1100000000000001</v>
      </c>
      <c r="H634" s="4">
        <v>0</v>
      </c>
    </row>
    <row r="635" spans="1:8" x14ac:dyDescent="0.2">
      <c r="A635" s="2" t="s">
        <v>83</v>
      </c>
      <c r="B635" s="4">
        <v>685</v>
      </c>
      <c r="C635" s="5">
        <v>13.02</v>
      </c>
      <c r="D635" s="4">
        <v>155</v>
      </c>
      <c r="E635" s="5">
        <v>6.13</v>
      </c>
      <c r="F635" s="4">
        <v>529</v>
      </c>
      <c r="G635" s="5">
        <v>19.64</v>
      </c>
      <c r="H635" s="4">
        <v>1</v>
      </c>
    </row>
    <row r="636" spans="1:8" x14ac:dyDescent="0.2">
      <c r="A636" s="2" t="s">
        <v>84</v>
      </c>
      <c r="B636" s="4">
        <v>295</v>
      </c>
      <c r="C636" s="5">
        <v>5.61</v>
      </c>
      <c r="D636" s="4">
        <v>136</v>
      </c>
      <c r="E636" s="5">
        <v>5.38</v>
      </c>
      <c r="F636" s="4">
        <v>158</v>
      </c>
      <c r="G636" s="5">
        <v>5.86</v>
      </c>
      <c r="H636" s="4">
        <v>0</v>
      </c>
    </row>
    <row r="637" spans="1:8" x14ac:dyDescent="0.2">
      <c r="A637" s="2" t="s">
        <v>85</v>
      </c>
      <c r="B637" s="4">
        <v>633</v>
      </c>
      <c r="C637" s="5">
        <v>12.03</v>
      </c>
      <c r="D637" s="4">
        <v>528</v>
      </c>
      <c r="E637" s="5">
        <v>20.87</v>
      </c>
      <c r="F637" s="4">
        <v>102</v>
      </c>
      <c r="G637" s="5">
        <v>3.79</v>
      </c>
      <c r="H637" s="4">
        <v>2</v>
      </c>
    </row>
    <row r="638" spans="1:8" x14ac:dyDescent="0.2">
      <c r="A638" s="2" t="s">
        <v>86</v>
      </c>
      <c r="B638" s="4">
        <v>761</v>
      </c>
      <c r="C638" s="5">
        <v>14.47</v>
      </c>
      <c r="D638" s="4">
        <v>587</v>
      </c>
      <c r="E638" s="5">
        <v>23.2</v>
      </c>
      <c r="F638" s="4">
        <v>172</v>
      </c>
      <c r="G638" s="5">
        <v>6.38</v>
      </c>
      <c r="H638" s="4">
        <v>1</v>
      </c>
    </row>
    <row r="639" spans="1:8" x14ac:dyDescent="0.2">
      <c r="A639" s="2" t="s">
        <v>87</v>
      </c>
      <c r="B639" s="4">
        <v>250</v>
      </c>
      <c r="C639" s="5">
        <v>4.75</v>
      </c>
      <c r="D639" s="4">
        <v>165</v>
      </c>
      <c r="E639" s="5">
        <v>6.52</v>
      </c>
      <c r="F639" s="4">
        <v>70</v>
      </c>
      <c r="G639" s="5">
        <v>2.6</v>
      </c>
      <c r="H639" s="4">
        <v>1</v>
      </c>
    </row>
    <row r="640" spans="1:8" x14ac:dyDescent="0.2">
      <c r="A640" s="2" t="s">
        <v>88</v>
      </c>
      <c r="B640" s="4">
        <v>366</v>
      </c>
      <c r="C640" s="5">
        <v>6.96</v>
      </c>
      <c r="D640" s="4">
        <v>220</v>
      </c>
      <c r="E640" s="5">
        <v>8.6999999999999993</v>
      </c>
      <c r="F640" s="4">
        <v>135</v>
      </c>
      <c r="G640" s="5">
        <v>5.01</v>
      </c>
      <c r="H640" s="4">
        <v>2</v>
      </c>
    </row>
    <row r="641" spans="1:8" x14ac:dyDescent="0.2">
      <c r="A641" s="2" t="s">
        <v>89</v>
      </c>
      <c r="B641" s="4">
        <v>145</v>
      </c>
      <c r="C641" s="5">
        <v>2.76</v>
      </c>
      <c r="D641" s="4">
        <v>42</v>
      </c>
      <c r="E641" s="5">
        <v>1.66</v>
      </c>
      <c r="F641" s="4">
        <v>100</v>
      </c>
      <c r="G641" s="5">
        <v>3.71</v>
      </c>
      <c r="H641" s="4">
        <v>1</v>
      </c>
    </row>
    <row r="642" spans="1:8" x14ac:dyDescent="0.2">
      <c r="A642" s="1" t="s">
        <v>40</v>
      </c>
      <c r="B642" s="4">
        <v>1949</v>
      </c>
      <c r="C642" s="5">
        <v>100.01</v>
      </c>
      <c r="D642" s="4">
        <v>1140</v>
      </c>
      <c r="E642" s="5">
        <v>100.00999999999998</v>
      </c>
      <c r="F642" s="4">
        <v>801</v>
      </c>
      <c r="G642" s="5">
        <v>100.01</v>
      </c>
      <c r="H642" s="4">
        <v>2</v>
      </c>
    </row>
    <row r="643" spans="1:8" x14ac:dyDescent="0.2">
      <c r="A643" s="2" t="s">
        <v>75</v>
      </c>
      <c r="B643" s="4">
        <v>0</v>
      </c>
      <c r="C643" s="5">
        <v>0</v>
      </c>
      <c r="D643" s="4">
        <v>0</v>
      </c>
      <c r="E643" s="5">
        <v>0</v>
      </c>
      <c r="F643" s="4">
        <v>0</v>
      </c>
      <c r="G643" s="5">
        <v>0</v>
      </c>
      <c r="H643" s="4">
        <v>0</v>
      </c>
    </row>
    <row r="644" spans="1:8" x14ac:dyDescent="0.2">
      <c r="A644" s="2" t="s">
        <v>76</v>
      </c>
      <c r="B644" s="4">
        <v>258</v>
      </c>
      <c r="C644" s="5">
        <v>13.24</v>
      </c>
      <c r="D644" s="4">
        <v>80</v>
      </c>
      <c r="E644" s="5">
        <v>7.02</v>
      </c>
      <c r="F644" s="4">
        <v>178</v>
      </c>
      <c r="G644" s="5">
        <v>22.22</v>
      </c>
      <c r="H644" s="4">
        <v>0</v>
      </c>
    </row>
    <row r="645" spans="1:8" x14ac:dyDescent="0.2">
      <c r="A645" s="2" t="s">
        <v>77</v>
      </c>
      <c r="B645" s="4">
        <v>264</v>
      </c>
      <c r="C645" s="5">
        <v>13.55</v>
      </c>
      <c r="D645" s="4">
        <v>121</v>
      </c>
      <c r="E645" s="5">
        <v>10.61</v>
      </c>
      <c r="F645" s="4">
        <v>142</v>
      </c>
      <c r="G645" s="5">
        <v>17.73</v>
      </c>
      <c r="H645" s="4">
        <v>1</v>
      </c>
    </row>
    <row r="646" spans="1:8" x14ac:dyDescent="0.2">
      <c r="A646" s="2" t="s">
        <v>78</v>
      </c>
      <c r="B646" s="4">
        <v>2</v>
      </c>
      <c r="C646" s="5">
        <v>0.1</v>
      </c>
      <c r="D646" s="4">
        <v>1</v>
      </c>
      <c r="E646" s="5">
        <v>0.09</v>
      </c>
      <c r="F646" s="4">
        <v>1</v>
      </c>
      <c r="G646" s="5">
        <v>0.12</v>
      </c>
      <c r="H646" s="4">
        <v>0</v>
      </c>
    </row>
    <row r="647" spans="1:8" x14ac:dyDescent="0.2">
      <c r="A647" s="2" t="s">
        <v>79</v>
      </c>
      <c r="B647" s="4">
        <v>17</v>
      </c>
      <c r="C647" s="5">
        <v>0.87</v>
      </c>
      <c r="D647" s="4">
        <v>1</v>
      </c>
      <c r="E647" s="5">
        <v>0.09</v>
      </c>
      <c r="F647" s="4">
        <v>16</v>
      </c>
      <c r="G647" s="5">
        <v>2</v>
      </c>
      <c r="H647" s="4">
        <v>0</v>
      </c>
    </row>
    <row r="648" spans="1:8" x14ac:dyDescent="0.2">
      <c r="A648" s="2" t="s">
        <v>80</v>
      </c>
      <c r="B648" s="4">
        <v>24</v>
      </c>
      <c r="C648" s="5">
        <v>1.23</v>
      </c>
      <c r="D648" s="4">
        <v>1</v>
      </c>
      <c r="E648" s="5">
        <v>0.09</v>
      </c>
      <c r="F648" s="4">
        <v>23</v>
      </c>
      <c r="G648" s="5">
        <v>2.87</v>
      </c>
      <c r="H648" s="4">
        <v>0</v>
      </c>
    </row>
    <row r="649" spans="1:8" x14ac:dyDescent="0.2">
      <c r="A649" s="2" t="s">
        <v>81</v>
      </c>
      <c r="B649" s="4">
        <v>407</v>
      </c>
      <c r="C649" s="5">
        <v>20.88</v>
      </c>
      <c r="D649" s="4">
        <v>236</v>
      </c>
      <c r="E649" s="5">
        <v>20.7</v>
      </c>
      <c r="F649" s="4">
        <v>171</v>
      </c>
      <c r="G649" s="5">
        <v>21.35</v>
      </c>
      <c r="H649" s="4">
        <v>0</v>
      </c>
    </row>
    <row r="650" spans="1:8" x14ac:dyDescent="0.2">
      <c r="A650" s="2" t="s">
        <v>82</v>
      </c>
      <c r="B650" s="4">
        <v>12</v>
      </c>
      <c r="C650" s="5">
        <v>0.62</v>
      </c>
      <c r="D650" s="4">
        <v>2</v>
      </c>
      <c r="E650" s="5">
        <v>0.18</v>
      </c>
      <c r="F650" s="4">
        <v>10</v>
      </c>
      <c r="G650" s="5">
        <v>1.25</v>
      </c>
      <c r="H650" s="4">
        <v>0</v>
      </c>
    </row>
    <row r="651" spans="1:8" x14ac:dyDescent="0.2">
      <c r="A651" s="2" t="s">
        <v>83</v>
      </c>
      <c r="B651" s="4">
        <v>260</v>
      </c>
      <c r="C651" s="5">
        <v>13.34</v>
      </c>
      <c r="D651" s="4">
        <v>140</v>
      </c>
      <c r="E651" s="5">
        <v>12.28</v>
      </c>
      <c r="F651" s="4">
        <v>119</v>
      </c>
      <c r="G651" s="5">
        <v>14.86</v>
      </c>
      <c r="H651" s="4">
        <v>0</v>
      </c>
    </row>
    <row r="652" spans="1:8" x14ac:dyDescent="0.2">
      <c r="A652" s="2" t="s">
        <v>84</v>
      </c>
      <c r="B652" s="4">
        <v>62</v>
      </c>
      <c r="C652" s="5">
        <v>3.18</v>
      </c>
      <c r="D652" s="4">
        <v>34</v>
      </c>
      <c r="E652" s="5">
        <v>2.98</v>
      </c>
      <c r="F652" s="4">
        <v>28</v>
      </c>
      <c r="G652" s="5">
        <v>3.5</v>
      </c>
      <c r="H652" s="4">
        <v>0</v>
      </c>
    </row>
    <row r="653" spans="1:8" x14ac:dyDescent="0.2">
      <c r="A653" s="2" t="s">
        <v>85</v>
      </c>
      <c r="B653" s="4">
        <v>195</v>
      </c>
      <c r="C653" s="5">
        <v>10.01</v>
      </c>
      <c r="D653" s="4">
        <v>176</v>
      </c>
      <c r="E653" s="5">
        <v>15.44</v>
      </c>
      <c r="F653" s="4">
        <v>19</v>
      </c>
      <c r="G653" s="5">
        <v>2.37</v>
      </c>
      <c r="H653" s="4">
        <v>0</v>
      </c>
    </row>
    <row r="654" spans="1:8" x14ac:dyDescent="0.2">
      <c r="A654" s="2" t="s">
        <v>86</v>
      </c>
      <c r="B654" s="4">
        <v>211</v>
      </c>
      <c r="C654" s="5">
        <v>10.83</v>
      </c>
      <c r="D654" s="4">
        <v>168</v>
      </c>
      <c r="E654" s="5">
        <v>14.74</v>
      </c>
      <c r="F654" s="4">
        <v>41</v>
      </c>
      <c r="G654" s="5">
        <v>5.12</v>
      </c>
      <c r="H654" s="4">
        <v>1</v>
      </c>
    </row>
    <row r="655" spans="1:8" x14ac:dyDescent="0.2">
      <c r="A655" s="2" t="s">
        <v>87</v>
      </c>
      <c r="B655" s="4">
        <v>91</v>
      </c>
      <c r="C655" s="5">
        <v>4.67</v>
      </c>
      <c r="D655" s="4">
        <v>80</v>
      </c>
      <c r="E655" s="5">
        <v>7.02</v>
      </c>
      <c r="F655" s="4">
        <v>10</v>
      </c>
      <c r="G655" s="5">
        <v>1.25</v>
      </c>
      <c r="H655" s="4">
        <v>0</v>
      </c>
    </row>
    <row r="656" spans="1:8" x14ac:dyDescent="0.2">
      <c r="A656" s="2" t="s">
        <v>88</v>
      </c>
      <c r="B656" s="4">
        <v>89</v>
      </c>
      <c r="C656" s="5">
        <v>4.57</v>
      </c>
      <c r="D656" s="4">
        <v>55</v>
      </c>
      <c r="E656" s="5">
        <v>4.82</v>
      </c>
      <c r="F656" s="4">
        <v>31</v>
      </c>
      <c r="G656" s="5">
        <v>3.87</v>
      </c>
      <c r="H656" s="4">
        <v>0</v>
      </c>
    </row>
    <row r="657" spans="1:8" x14ac:dyDescent="0.2">
      <c r="A657" s="2" t="s">
        <v>89</v>
      </c>
      <c r="B657" s="4">
        <v>57</v>
      </c>
      <c r="C657" s="5">
        <v>2.92</v>
      </c>
      <c r="D657" s="4">
        <v>45</v>
      </c>
      <c r="E657" s="5">
        <v>3.95</v>
      </c>
      <c r="F657" s="4">
        <v>12</v>
      </c>
      <c r="G657" s="5">
        <v>1.5</v>
      </c>
      <c r="H657" s="4">
        <v>0</v>
      </c>
    </row>
    <row r="658" spans="1:8" x14ac:dyDescent="0.2">
      <c r="A658" s="1" t="s">
        <v>41</v>
      </c>
      <c r="B658" s="4">
        <v>3712</v>
      </c>
      <c r="C658" s="5">
        <v>99.990000000000009</v>
      </c>
      <c r="D658" s="4">
        <v>1924</v>
      </c>
      <c r="E658" s="5">
        <v>99.990000000000009</v>
      </c>
      <c r="F658" s="4">
        <v>1781</v>
      </c>
      <c r="G658" s="5">
        <v>99.990000000000023</v>
      </c>
      <c r="H658" s="4">
        <v>6</v>
      </c>
    </row>
    <row r="659" spans="1:8" x14ac:dyDescent="0.2">
      <c r="A659" s="2" t="s">
        <v>75</v>
      </c>
      <c r="B659" s="4">
        <v>0</v>
      </c>
      <c r="C659" s="5">
        <v>0</v>
      </c>
      <c r="D659" s="4">
        <v>0</v>
      </c>
      <c r="E659" s="5">
        <v>0</v>
      </c>
      <c r="F659" s="4">
        <v>0</v>
      </c>
      <c r="G659" s="5">
        <v>0</v>
      </c>
      <c r="H659" s="4">
        <v>0</v>
      </c>
    </row>
    <row r="660" spans="1:8" x14ac:dyDescent="0.2">
      <c r="A660" s="2" t="s">
        <v>76</v>
      </c>
      <c r="B660" s="4">
        <v>492</v>
      </c>
      <c r="C660" s="5">
        <v>13.25</v>
      </c>
      <c r="D660" s="4">
        <v>103</v>
      </c>
      <c r="E660" s="5">
        <v>5.35</v>
      </c>
      <c r="F660" s="4">
        <v>389</v>
      </c>
      <c r="G660" s="5">
        <v>21.84</v>
      </c>
      <c r="H660" s="4">
        <v>0</v>
      </c>
    </row>
    <row r="661" spans="1:8" x14ac:dyDescent="0.2">
      <c r="A661" s="2" t="s">
        <v>77</v>
      </c>
      <c r="B661" s="4">
        <v>652</v>
      </c>
      <c r="C661" s="5">
        <v>17.559999999999999</v>
      </c>
      <c r="D661" s="4">
        <v>284</v>
      </c>
      <c r="E661" s="5">
        <v>14.76</v>
      </c>
      <c r="F661" s="4">
        <v>368</v>
      </c>
      <c r="G661" s="5">
        <v>20.66</v>
      </c>
      <c r="H661" s="4">
        <v>0</v>
      </c>
    </row>
    <row r="662" spans="1:8" x14ac:dyDescent="0.2">
      <c r="A662" s="2" t="s">
        <v>78</v>
      </c>
      <c r="B662" s="4">
        <v>2</v>
      </c>
      <c r="C662" s="5">
        <v>0.05</v>
      </c>
      <c r="D662" s="4">
        <v>0</v>
      </c>
      <c r="E662" s="5">
        <v>0</v>
      </c>
      <c r="F662" s="4">
        <v>2</v>
      </c>
      <c r="G662" s="5">
        <v>0.11</v>
      </c>
      <c r="H662" s="4">
        <v>0</v>
      </c>
    </row>
    <row r="663" spans="1:8" x14ac:dyDescent="0.2">
      <c r="A663" s="2" t="s">
        <v>79</v>
      </c>
      <c r="B663" s="4">
        <v>23</v>
      </c>
      <c r="C663" s="5">
        <v>0.62</v>
      </c>
      <c r="D663" s="4">
        <v>2</v>
      </c>
      <c r="E663" s="5">
        <v>0.1</v>
      </c>
      <c r="F663" s="4">
        <v>21</v>
      </c>
      <c r="G663" s="5">
        <v>1.18</v>
      </c>
      <c r="H663" s="4">
        <v>0</v>
      </c>
    </row>
    <row r="664" spans="1:8" x14ac:dyDescent="0.2">
      <c r="A664" s="2" t="s">
        <v>80</v>
      </c>
      <c r="B664" s="4">
        <v>31</v>
      </c>
      <c r="C664" s="5">
        <v>0.84</v>
      </c>
      <c r="D664" s="4">
        <v>5</v>
      </c>
      <c r="E664" s="5">
        <v>0.26</v>
      </c>
      <c r="F664" s="4">
        <v>26</v>
      </c>
      <c r="G664" s="5">
        <v>1.46</v>
      </c>
      <c r="H664" s="4">
        <v>0</v>
      </c>
    </row>
    <row r="665" spans="1:8" x14ac:dyDescent="0.2">
      <c r="A665" s="2" t="s">
        <v>81</v>
      </c>
      <c r="B665" s="4">
        <v>724</v>
      </c>
      <c r="C665" s="5">
        <v>19.5</v>
      </c>
      <c r="D665" s="4">
        <v>384</v>
      </c>
      <c r="E665" s="5">
        <v>19.96</v>
      </c>
      <c r="F665" s="4">
        <v>340</v>
      </c>
      <c r="G665" s="5">
        <v>19.09</v>
      </c>
      <c r="H665" s="4">
        <v>0</v>
      </c>
    </row>
    <row r="666" spans="1:8" x14ac:dyDescent="0.2">
      <c r="A666" s="2" t="s">
        <v>82</v>
      </c>
      <c r="B666" s="4">
        <v>22</v>
      </c>
      <c r="C666" s="5">
        <v>0.59</v>
      </c>
      <c r="D666" s="4">
        <v>5</v>
      </c>
      <c r="E666" s="5">
        <v>0.26</v>
      </c>
      <c r="F666" s="4">
        <v>17</v>
      </c>
      <c r="G666" s="5">
        <v>0.95</v>
      </c>
      <c r="H666" s="4">
        <v>0</v>
      </c>
    </row>
    <row r="667" spans="1:8" x14ac:dyDescent="0.2">
      <c r="A667" s="2" t="s">
        <v>83</v>
      </c>
      <c r="B667" s="4">
        <v>405</v>
      </c>
      <c r="C667" s="5">
        <v>10.91</v>
      </c>
      <c r="D667" s="4">
        <v>117</v>
      </c>
      <c r="E667" s="5">
        <v>6.08</v>
      </c>
      <c r="F667" s="4">
        <v>288</v>
      </c>
      <c r="G667" s="5">
        <v>16.170000000000002</v>
      </c>
      <c r="H667" s="4">
        <v>0</v>
      </c>
    </row>
    <row r="668" spans="1:8" x14ac:dyDescent="0.2">
      <c r="A668" s="2" t="s">
        <v>84</v>
      </c>
      <c r="B668" s="4">
        <v>135</v>
      </c>
      <c r="C668" s="5">
        <v>3.64</v>
      </c>
      <c r="D668" s="4">
        <v>63</v>
      </c>
      <c r="E668" s="5">
        <v>3.27</v>
      </c>
      <c r="F668" s="4">
        <v>72</v>
      </c>
      <c r="G668" s="5">
        <v>4.04</v>
      </c>
      <c r="H668" s="4">
        <v>0</v>
      </c>
    </row>
    <row r="669" spans="1:8" x14ac:dyDescent="0.2">
      <c r="A669" s="2" t="s">
        <v>85</v>
      </c>
      <c r="B669" s="4">
        <v>476</v>
      </c>
      <c r="C669" s="5">
        <v>12.82</v>
      </c>
      <c r="D669" s="4">
        <v>426</v>
      </c>
      <c r="E669" s="5">
        <v>22.14</v>
      </c>
      <c r="F669" s="4">
        <v>50</v>
      </c>
      <c r="G669" s="5">
        <v>2.81</v>
      </c>
      <c r="H669" s="4">
        <v>0</v>
      </c>
    </row>
    <row r="670" spans="1:8" x14ac:dyDescent="0.2">
      <c r="A670" s="2" t="s">
        <v>86</v>
      </c>
      <c r="B670" s="4">
        <v>388</v>
      </c>
      <c r="C670" s="5">
        <v>10.45</v>
      </c>
      <c r="D670" s="4">
        <v>317</v>
      </c>
      <c r="E670" s="5">
        <v>16.48</v>
      </c>
      <c r="F670" s="4">
        <v>71</v>
      </c>
      <c r="G670" s="5">
        <v>3.99</v>
      </c>
      <c r="H670" s="4">
        <v>0</v>
      </c>
    </row>
    <row r="671" spans="1:8" x14ac:dyDescent="0.2">
      <c r="A671" s="2" t="s">
        <v>87</v>
      </c>
      <c r="B671" s="4">
        <v>88</v>
      </c>
      <c r="C671" s="5">
        <v>2.37</v>
      </c>
      <c r="D671" s="4">
        <v>62</v>
      </c>
      <c r="E671" s="5">
        <v>3.22</v>
      </c>
      <c r="F671" s="4">
        <v>20</v>
      </c>
      <c r="G671" s="5">
        <v>1.1200000000000001</v>
      </c>
      <c r="H671" s="4">
        <v>5</v>
      </c>
    </row>
    <row r="672" spans="1:8" x14ac:dyDescent="0.2">
      <c r="A672" s="2" t="s">
        <v>88</v>
      </c>
      <c r="B672" s="4">
        <v>168</v>
      </c>
      <c r="C672" s="5">
        <v>4.53</v>
      </c>
      <c r="D672" s="4">
        <v>115</v>
      </c>
      <c r="E672" s="5">
        <v>5.98</v>
      </c>
      <c r="F672" s="4">
        <v>53</v>
      </c>
      <c r="G672" s="5">
        <v>2.98</v>
      </c>
      <c r="H672" s="4">
        <v>0</v>
      </c>
    </row>
    <row r="673" spans="1:8" x14ac:dyDescent="0.2">
      <c r="A673" s="2" t="s">
        <v>89</v>
      </c>
      <c r="B673" s="4">
        <v>106</v>
      </c>
      <c r="C673" s="5">
        <v>2.86</v>
      </c>
      <c r="D673" s="4">
        <v>41</v>
      </c>
      <c r="E673" s="5">
        <v>2.13</v>
      </c>
      <c r="F673" s="4">
        <v>64</v>
      </c>
      <c r="G673" s="5">
        <v>3.59</v>
      </c>
      <c r="H673" s="4">
        <v>1</v>
      </c>
    </row>
    <row r="674" spans="1:8" x14ac:dyDescent="0.2">
      <c r="A674" s="1" t="s">
        <v>42</v>
      </c>
      <c r="B674" s="4">
        <v>5299</v>
      </c>
      <c r="C674" s="5">
        <v>99.990000000000009</v>
      </c>
      <c r="D674" s="4">
        <v>2636</v>
      </c>
      <c r="E674" s="5">
        <v>100</v>
      </c>
      <c r="F674" s="4">
        <v>2637</v>
      </c>
      <c r="G674" s="5">
        <v>99.999999999999986</v>
      </c>
      <c r="H674" s="4">
        <v>8</v>
      </c>
    </row>
    <row r="675" spans="1:8" x14ac:dyDescent="0.2">
      <c r="A675" s="2" t="s">
        <v>75</v>
      </c>
      <c r="B675" s="4">
        <v>0</v>
      </c>
      <c r="C675" s="5">
        <v>0</v>
      </c>
      <c r="D675" s="4">
        <v>0</v>
      </c>
      <c r="E675" s="5">
        <v>0</v>
      </c>
      <c r="F675" s="4">
        <v>0</v>
      </c>
      <c r="G675" s="5">
        <v>0</v>
      </c>
      <c r="H675" s="4">
        <v>0</v>
      </c>
    </row>
    <row r="676" spans="1:8" x14ac:dyDescent="0.2">
      <c r="A676" s="2" t="s">
        <v>76</v>
      </c>
      <c r="B676" s="4">
        <v>720</v>
      </c>
      <c r="C676" s="5">
        <v>13.59</v>
      </c>
      <c r="D676" s="4">
        <v>135</v>
      </c>
      <c r="E676" s="5">
        <v>5.12</v>
      </c>
      <c r="F676" s="4">
        <v>585</v>
      </c>
      <c r="G676" s="5">
        <v>22.18</v>
      </c>
      <c r="H676" s="4">
        <v>0</v>
      </c>
    </row>
    <row r="677" spans="1:8" x14ac:dyDescent="0.2">
      <c r="A677" s="2" t="s">
        <v>77</v>
      </c>
      <c r="B677" s="4">
        <v>253</v>
      </c>
      <c r="C677" s="5">
        <v>4.7699999999999996</v>
      </c>
      <c r="D677" s="4">
        <v>61</v>
      </c>
      <c r="E677" s="5">
        <v>2.31</v>
      </c>
      <c r="F677" s="4">
        <v>192</v>
      </c>
      <c r="G677" s="5">
        <v>7.28</v>
      </c>
      <c r="H677" s="4">
        <v>0</v>
      </c>
    </row>
    <row r="678" spans="1:8" x14ac:dyDescent="0.2">
      <c r="A678" s="2" t="s">
        <v>78</v>
      </c>
      <c r="B678" s="4">
        <v>2</v>
      </c>
      <c r="C678" s="5">
        <v>0.04</v>
      </c>
      <c r="D678" s="4">
        <v>0</v>
      </c>
      <c r="E678" s="5">
        <v>0</v>
      </c>
      <c r="F678" s="4">
        <v>2</v>
      </c>
      <c r="G678" s="5">
        <v>0.08</v>
      </c>
      <c r="H678" s="4">
        <v>0</v>
      </c>
    </row>
    <row r="679" spans="1:8" x14ac:dyDescent="0.2">
      <c r="A679" s="2" t="s">
        <v>79</v>
      </c>
      <c r="B679" s="4">
        <v>54</v>
      </c>
      <c r="C679" s="5">
        <v>1.02</v>
      </c>
      <c r="D679" s="4">
        <v>6</v>
      </c>
      <c r="E679" s="5">
        <v>0.23</v>
      </c>
      <c r="F679" s="4">
        <v>48</v>
      </c>
      <c r="G679" s="5">
        <v>1.82</v>
      </c>
      <c r="H679" s="4">
        <v>0</v>
      </c>
    </row>
    <row r="680" spans="1:8" x14ac:dyDescent="0.2">
      <c r="A680" s="2" t="s">
        <v>80</v>
      </c>
      <c r="B680" s="4">
        <v>37</v>
      </c>
      <c r="C680" s="5">
        <v>0.7</v>
      </c>
      <c r="D680" s="4">
        <v>3</v>
      </c>
      <c r="E680" s="5">
        <v>0.11</v>
      </c>
      <c r="F680" s="4">
        <v>34</v>
      </c>
      <c r="G680" s="5">
        <v>1.29</v>
      </c>
      <c r="H680" s="4">
        <v>0</v>
      </c>
    </row>
    <row r="681" spans="1:8" x14ac:dyDescent="0.2">
      <c r="A681" s="2" t="s">
        <v>81</v>
      </c>
      <c r="B681" s="4">
        <v>1083</v>
      </c>
      <c r="C681" s="5">
        <v>20.440000000000001</v>
      </c>
      <c r="D681" s="4">
        <v>532</v>
      </c>
      <c r="E681" s="5">
        <v>20.18</v>
      </c>
      <c r="F681" s="4">
        <v>550</v>
      </c>
      <c r="G681" s="5">
        <v>20.86</v>
      </c>
      <c r="H681" s="4">
        <v>1</v>
      </c>
    </row>
    <row r="682" spans="1:8" x14ac:dyDescent="0.2">
      <c r="A682" s="2" t="s">
        <v>82</v>
      </c>
      <c r="B682" s="4">
        <v>33</v>
      </c>
      <c r="C682" s="5">
        <v>0.62</v>
      </c>
      <c r="D682" s="4">
        <v>8</v>
      </c>
      <c r="E682" s="5">
        <v>0.3</v>
      </c>
      <c r="F682" s="4">
        <v>25</v>
      </c>
      <c r="G682" s="5">
        <v>0.95</v>
      </c>
      <c r="H682" s="4">
        <v>0</v>
      </c>
    </row>
    <row r="683" spans="1:8" x14ac:dyDescent="0.2">
      <c r="A683" s="2" t="s">
        <v>83</v>
      </c>
      <c r="B683" s="4">
        <v>625</v>
      </c>
      <c r="C683" s="5">
        <v>11.79</v>
      </c>
      <c r="D683" s="4">
        <v>161</v>
      </c>
      <c r="E683" s="5">
        <v>6.11</v>
      </c>
      <c r="F683" s="4">
        <v>463</v>
      </c>
      <c r="G683" s="5">
        <v>17.559999999999999</v>
      </c>
      <c r="H683" s="4">
        <v>1</v>
      </c>
    </row>
    <row r="684" spans="1:8" x14ac:dyDescent="0.2">
      <c r="A684" s="2" t="s">
        <v>84</v>
      </c>
      <c r="B684" s="4">
        <v>327</v>
      </c>
      <c r="C684" s="5">
        <v>6.17</v>
      </c>
      <c r="D684" s="4">
        <v>157</v>
      </c>
      <c r="E684" s="5">
        <v>5.96</v>
      </c>
      <c r="F684" s="4">
        <v>167</v>
      </c>
      <c r="G684" s="5">
        <v>6.33</v>
      </c>
      <c r="H684" s="4">
        <v>1</v>
      </c>
    </row>
    <row r="685" spans="1:8" x14ac:dyDescent="0.2">
      <c r="A685" s="2" t="s">
        <v>85</v>
      </c>
      <c r="B685" s="4">
        <v>611</v>
      </c>
      <c r="C685" s="5">
        <v>11.53</v>
      </c>
      <c r="D685" s="4">
        <v>506</v>
      </c>
      <c r="E685" s="5">
        <v>19.2</v>
      </c>
      <c r="F685" s="4">
        <v>103</v>
      </c>
      <c r="G685" s="5">
        <v>3.91</v>
      </c>
      <c r="H685" s="4">
        <v>0</v>
      </c>
    </row>
    <row r="686" spans="1:8" x14ac:dyDescent="0.2">
      <c r="A686" s="2" t="s">
        <v>86</v>
      </c>
      <c r="B686" s="4">
        <v>735</v>
      </c>
      <c r="C686" s="5">
        <v>13.87</v>
      </c>
      <c r="D686" s="4">
        <v>587</v>
      </c>
      <c r="E686" s="5">
        <v>22.27</v>
      </c>
      <c r="F686" s="4">
        <v>148</v>
      </c>
      <c r="G686" s="5">
        <v>5.61</v>
      </c>
      <c r="H686" s="4">
        <v>0</v>
      </c>
    </row>
    <row r="687" spans="1:8" x14ac:dyDescent="0.2">
      <c r="A687" s="2" t="s">
        <v>87</v>
      </c>
      <c r="B687" s="4">
        <v>274</v>
      </c>
      <c r="C687" s="5">
        <v>5.17</v>
      </c>
      <c r="D687" s="4">
        <v>198</v>
      </c>
      <c r="E687" s="5">
        <v>7.51</v>
      </c>
      <c r="F687" s="4">
        <v>69</v>
      </c>
      <c r="G687" s="5">
        <v>2.62</v>
      </c>
      <c r="H687" s="4">
        <v>1</v>
      </c>
    </row>
    <row r="688" spans="1:8" x14ac:dyDescent="0.2">
      <c r="A688" s="2" t="s">
        <v>88</v>
      </c>
      <c r="B688" s="4">
        <v>389</v>
      </c>
      <c r="C688" s="5">
        <v>7.34</v>
      </c>
      <c r="D688" s="4">
        <v>238</v>
      </c>
      <c r="E688" s="5">
        <v>9.0299999999999994</v>
      </c>
      <c r="F688" s="4">
        <v>142</v>
      </c>
      <c r="G688" s="5">
        <v>5.38</v>
      </c>
      <c r="H688" s="4">
        <v>1</v>
      </c>
    </row>
    <row r="689" spans="1:8" x14ac:dyDescent="0.2">
      <c r="A689" s="2" t="s">
        <v>89</v>
      </c>
      <c r="B689" s="4">
        <v>156</v>
      </c>
      <c r="C689" s="5">
        <v>2.94</v>
      </c>
      <c r="D689" s="4">
        <v>44</v>
      </c>
      <c r="E689" s="5">
        <v>1.67</v>
      </c>
      <c r="F689" s="4">
        <v>109</v>
      </c>
      <c r="G689" s="5">
        <v>4.13</v>
      </c>
      <c r="H689" s="4">
        <v>3</v>
      </c>
    </row>
    <row r="690" spans="1:8" x14ac:dyDescent="0.2">
      <c r="A690" s="1" t="s">
        <v>43</v>
      </c>
      <c r="B690" s="4">
        <v>4868</v>
      </c>
      <c r="C690" s="5">
        <v>99.98</v>
      </c>
      <c r="D690" s="4">
        <v>2211</v>
      </c>
      <c r="E690" s="5">
        <v>100</v>
      </c>
      <c r="F690" s="4">
        <v>2619</v>
      </c>
      <c r="G690" s="5">
        <v>99.99</v>
      </c>
      <c r="H690" s="4">
        <v>21</v>
      </c>
    </row>
    <row r="691" spans="1:8" x14ac:dyDescent="0.2">
      <c r="A691" s="2" t="s">
        <v>75</v>
      </c>
      <c r="B691" s="4">
        <v>2</v>
      </c>
      <c r="C691" s="5">
        <v>0.04</v>
      </c>
      <c r="D691" s="4">
        <v>0</v>
      </c>
      <c r="E691" s="5">
        <v>0</v>
      </c>
      <c r="F691" s="4">
        <v>2</v>
      </c>
      <c r="G691" s="5">
        <v>0.08</v>
      </c>
      <c r="H691" s="4">
        <v>0</v>
      </c>
    </row>
    <row r="692" spans="1:8" x14ac:dyDescent="0.2">
      <c r="A692" s="2" t="s">
        <v>76</v>
      </c>
      <c r="B692" s="4">
        <v>539</v>
      </c>
      <c r="C692" s="5">
        <v>11.07</v>
      </c>
      <c r="D692" s="4">
        <v>81</v>
      </c>
      <c r="E692" s="5">
        <v>3.66</v>
      </c>
      <c r="F692" s="4">
        <v>458</v>
      </c>
      <c r="G692" s="5">
        <v>17.489999999999998</v>
      </c>
      <c r="H692" s="4">
        <v>0</v>
      </c>
    </row>
    <row r="693" spans="1:8" x14ac:dyDescent="0.2">
      <c r="A693" s="2" t="s">
        <v>77</v>
      </c>
      <c r="B693" s="4">
        <v>238</v>
      </c>
      <c r="C693" s="5">
        <v>4.8899999999999997</v>
      </c>
      <c r="D693" s="4">
        <v>40</v>
      </c>
      <c r="E693" s="5">
        <v>1.81</v>
      </c>
      <c r="F693" s="4">
        <v>198</v>
      </c>
      <c r="G693" s="5">
        <v>7.56</v>
      </c>
      <c r="H693" s="4">
        <v>0</v>
      </c>
    </row>
    <row r="694" spans="1:8" x14ac:dyDescent="0.2">
      <c r="A694" s="2" t="s">
        <v>78</v>
      </c>
      <c r="B694" s="4">
        <v>5</v>
      </c>
      <c r="C694" s="5">
        <v>0.1</v>
      </c>
      <c r="D694" s="4">
        <v>0</v>
      </c>
      <c r="E694" s="5">
        <v>0</v>
      </c>
      <c r="F694" s="4">
        <v>5</v>
      </c>
      <c r="G694" s="5">
        <v>0.19</v>
      </c>
      <c r="H694" s="4">
        <v>0</v>
      </c>
    </row>
    <row r="695" spans="1:8" x14ac:dyDescent="0.2">
      <c r="A695" s="2" t="s">
        <v>79</v>
      </c>
      <c r="B695" s="4">
        <v>43</v>
      </c>
      <c r="C695" s="5">
        <v>0.88</v>
      </c>
      <c r="D695" s="4">
        <v>1</v>
      </c>
      <c r="E695" s="5">
        <v>0.05</v>
      </c>
      <c r="F695" s="4">
        <v>42</v>
      </c>
      <c r="G695" s="5">
        <v>1.6</v>
      </c>
      <c r="H695" s="4">
        <v>0</v>
      </c>
    </row>
    <row r="696" spans="1:8" x14ac:dyDescent="0.2">
      <c r="A696" s="2" t="s">
        <v>80</v>
      </c>
      <c r="B696" s="4">
        <v>80</v>
      </c>
      <c r="C696" s="5">
        <v>1.64</v>
      </c>
      <c r="D696" s="4">
        <v>9</v>
      </c>
      <c r="E696" s="5">
        <v>0.41</v>
      </c>
      <c r="F696" s="4">
        <v>71</v>
      </c>
      <c r="G696" s="5">
        <v>2.71</v>
      </c>
      <c r="H696" s="4">
        <v>0</v>
      </c>
    </row>
    <row r="697" spans="1:8" x14ac:dyDescent="0.2">
      <c r="A697" s="2" t="s">
        <v>81</v>
      </c>
      <c r="B697" s="4">
        <v>952</v>
      </c>
      <c r="C697" s="5">
        <v>19.559999999999999</v>
      </c>
      <c r="D697" s="4">
        <v>378</v>
      </c>
      <c r="E697" s="5">
        <v>17.100000000000001</v>
      </c>
      <c r="F697" s="4">
        <v>573</v>
      </c>
      <c r="G697" s="5">
        <v>21.88</v>
      </c>
      <c r="H697" s="4">
        <v>1</v>
      </c>
    </row>
    <row r="698" spans="1:8" x14ac:dyDescent="0.2">
      <c r="A698" s="2" t="s">
        <v>82</v>
      </c>
      <c r="B698" s="4">
        <v>23</v>
      </c>
      <c r="C698" s="5">
        <v>0.47</v>
      </c>
      <c r="D698" s="4">
        <v>2</v>
      </c>
      <c r="E698" s="5">
        <v>0.09</v>
      </c>
      <c r="F698" s="4">
        <v>21</v>
      </c>
      <c r="G698" s="5">
        <v>0.8</v>
      </c>
      <c r="H698" s="4">
        <v>0</v>
      </c>
    </row>
    <row r="699" spans="1:8" x14ac:dyDescent="0.2">
      <c r="A699" s="2" t="s">
        <v>83</v>
      </c>
      <c r="B699" s="4">
        <v>994</v>
      </c>
      <c r="C699" s="5">
        <v>20.420000000000002</v>
      </c>
      <c r="D699" s="4">
        <v>333</v>
      </c>
      <c r="E699" s="5">
        <v>15.06</v>
      </c>
      <c r="F699" s="4">
        <v>659</v>
      </c>
      <c r="G699" s="5">
        <v>25.16</v>
      </c>
      <c r="H699" s="4">
        <v>2</v>
      </c>
    </row>
    <row r="700" spans="1:8" x14ac:dyDescent="0.2">
      <c r="A700" s="2" t="s">
        <v>84</v>
      </c>
      <c r="B700" s="4">
        <v>230</v>
      </c>
      <c r="C700" s="5">
        <v>4.72</v>
      </c>
      <c r="D700" s="4">
        <v>110</v>
      </c>
      <c r="E700" s="5">
        <v>4.9800000000000004</v>
      </c>
      <c r="F700" s="4">
        <v>120</v>
      </c>
      <c r="G700" s="5">
        <v>4.58</v>
      </c>
      <c r="H700" s="4">
        <v>0</v>
      </c>
    </row>
    <row r="701" spans="1:8" x14ac:dyDescent="0.2">
      <c r="A701" s="2" t="s">
        <v>85</v>
      </c>
      <c r="B701" s="4">
        <v>554</v>
      </c>
      <c r="C701" s="5">
        <v>11.38</v>
      </c>
      <c r="D701" s="4">
        <v>468</v>
      </c>
      <c r="E701" s="5">
        <v>21.17</v>
      </c>
      <c r="F701" s="4">
        <v>86</v>
      </c>
      <c r="G701" s="5">
        <v>3.28</v>
      </c>
      <c r="H701" s="4">
        <v>0</v>
      </c>
    </row>
    <row r="702" spans="1:8" x14ac:dyDescent="0.2">
      <c r="A702" s="2" t="s">
        <v>86</v>
      </c>
      <c r="B702" s="4">
        <v>539</v>
      </c>
      <c r="C702" s="5">
        <v>11.07</v>
      </c>
      <c r="D702" s="4">
        <v>414</v>
      </c>
      <c r="E702" s="5">
        <v>18.72</v>
      </c>
      <c r="F702" s="4">
        <v>122</v>
      </c>
      <c r="G702" s="5">
        <v>4.66</v>
      </c>
      <c r="H702" s="4">
        <v>0</v>
      </c>
    </row>
    <row r="703" spans="1:8" x14ac:dyDescent="0.2">
      <c r="A703" s="2" t="s">
        <v>87</v>
      </c>
      <c r="B703" s="4">
        <v>222</v>
      </c>
      <c r="C703" s="5">
        <v>4.5599999999999996</v>
      </c>
      <c r="D703" s="4">
        <v>152</v>
      </c>
      <c r="E703" s="5">
        <v>6.87</v>
      </c>
      <c r="F703" s="4">
        <v>61</v>
      </c>
      <c r="G703" s="5">
        <v>2.33</v>
      </c>
      <c r="H703" s="4">
        <v>0</v>
      </c>
    </row>
    <row r="704" spans="1:8" x14ac:dyDescent="0.2">
      <c r="A704" s="2" t="s">
        <v>88</v>
      </c>
      <c r="B704" s="4">
        <v>293</v>
      </c>
      <c r="C704" s="5">
        <v>6.02</v>
      </c>
      <c r="D704" s="4">
        <v>188</v>
      </c>
      <c r="E704" s="5">
        <v>8.5</v>
      </c>
      <c r="F704" s="4">
        <v>98</v>
      </c>
      <c r="G704" s="5">
        <v>3.74</v>
      </c>
      <c r="H704" s="4">
        <v>2</v>
      </c>
    </row>
    <row r="705" spans="1:8" x14ac:dyDescent="0.2">
      <c r="A705" s="2" t="s">
        <v>89</v>
      </c>
      <c r="B705" s="4">
        <v>154</v>
      </c>
      <c r="C705" s="5">
        <v>3.16</v>
      </c>
      <c r="D705" s="4">
        <v>35</v>
      </c>
      <c r="E705" s="5">
        <v>1.58</v>
      </c>
      <c r="F705" s="4">
        <v>103</v>
      </c>
      <c r="G705" s="5">
        <v>3.93</v>
      </c>
      <c r="H705" s="4">
        <v>16</v>
      </c>
    </row>
    <row r="706" spans="1:8" x14ac:dyDescent="0.2">
      <c r="A706" s="1" t="s">
        <v>44</v>
      </c>
      <c r="B706" s="4">
        <v>6671</v>
      </c>
      <c r="C706" s="5">
        <v>99.970000000000013</v>
      </c>
      <c r="D706" s="4">
        <v>3373</v>
      </c>
      <c r="E706" s="5">
        <v>100.01</v>
      </c>
      <c r="F706" s="4">
        <v>3287</v>
      </c>
      <c r="G706" s="5">
        <v>99.990000000000009</v>
      </c>
      <c r="H706" s="4">
        <v>6</v>
      </c>
    </row>
    <row r="707" spans="1:8" x14ac:dyDescent="0.2">
      <c r="A707" s="2" t="s">
        <v>75</v>
      </c>
      <c r="B707" s="4">
        <v>0</v>
      </c>
      <c r="C707" s="5">
        <v>0</v>
      </c>
      <c r="D707" s="4">
        <v>0</v>
      </c>
      <c r="E707" s="5">
        <v>0</v>
      </c>
      <c r="F707" s="4">
        <v>0</v>
      </c>
      <c r="G707" s="5">
        <v>0</v>
      </c>
      <c r="H707" s="4">
        <v>0</v>
      </c>
    </row>
    <row r="708" spans="1:8" x14ac:dyDescent="0.2">
      <c r="A708" s="2" t="s">
        <v>76</v>
      </c>
      <c r="B708" s="4">
        <v>639</v>
      </c>
      <c r="C708" s="5">
        <v>9.58</v>
      </c>
      <c r="D708" s="4">
        <v>183</v>
      </c>
      <c r="E708" s="5">
        <v>5.43</v>
      </c>
      <c r="F708" s="4">
        <v>456</v>
      </c>
      <c r="G708" s="5">
        <v>13.87</v>
      </c>
      <c r="H708" s="4">
        <v>0</v>
      </c>
    </row>
    <row r="709" spans="1:8" x14ac:dyDescent="0.2">
      <c r="A709" s="2" t="s">
        <v>77</v>
      </c>
      <c r="B709" s="4">
        <v>1902</v>
      </c>
      <c r="C709" s="5">
        <v>28.51</v>
      </c>
      <c r="D709" s="4">
        <v>806</v>
      </c>
      <c r="E709" s="5">
        <v>23.9</v>
      </c>
      <c r="F709" s="4">
        <v>1096</v>
      </c>
      <c r="G709" s="5">
        <v>33.340000000000003</v>
      </c>
      <c r="H709" s="4">
        <v>0</v>
      </c>
    </row>
    <row r="710" spans="1:8" x14ac:dyDescent="0.2">
      <c r="A710" s="2" t="s">
        <v>78</v>
      </c>
      <c r="B710" s="4">
        <v>3</v>
      </c>
      <c r="C710" s="5">
        <v>0.04</v>
      </c>
      <c r="D710" s="4">
        <v>0</v>
      </c>
      <c r="E710" s="5">
        <v>0</v>
      </c>
      <c r="F710" s="4">
        <v>3</v>
      </c>
      <c r="G710" s="5">
        <v>0.09</v>
      </c>
      <c r="H710" s="4">
        <v>0</v>
      </c>
    </row>
    <row r="711" spans="1:8" x14ac:dyDescent="0.2">
      <c r="A711" s="2" t="s">
        <v>79</v>
      </c>
      <c r="B711" s="4">
        <v>34</v>
      </c>
      <c r="C711" s="5">
        <v>0.51</v>
      </c>
      <c r="D711" s="4">
        <v>1</v>
      </c>
      <c r="E711" s="5">
        <v>0.03</v>
      </c>
      <c r="F711" s="4">
        <v>33</v>
      </c>
      <c r="G711" s="5">
        <v>1</v>
      </c>
      <c r="H711" s="4">
        <v>0</v>
      </c>
    </row>
    <row r="712" spans="1:8" x14ac:dyDescent="0.2">
      <c r="A712" s="2" t="s">
        <v>80</v>
      </c>
      <c r="B712" s="4">
        <v>73</v>
      </c>
      <c r="C712" s="5">
        <v>1.0900000000000001</v>
      </c>
      <c r="D712" s="4">
        <v>34</v>
      </c>
      <c r="E712" s="5">
        <v>1.01</v>
      </c>
      <c r="F712" s="4">
        <v>39</v>
      </c>
      <c r="G712" s="5">
        <v>1.19</v>
      </c>
      <c r="H712" s="4">
        <v>0</v>
      </c>
    </row>
    <row r="713" spans="1:8" x14ac:dyDescent="0.2">
      <c r="A713" s="2" t="s">
        <v>81</v>
      </c>
      <c r="B713" s="4">
        <v>1133</v>
      </c>
      <c r="C713" s="5">
        <v>16.98</v>
      </c>
      <c r="D713" s="4">
        <v>586</v>
      </c>
      <c r="E713" s="5">
        <v>17.37</v>
      </c>
      <c r="F713" s="4">
        <v>543</v>
      </c>
      <c r="G713" s="5">
        <v>16.52</v>
      </c>
      <c r="H713" s="4">
        <v>4</v>
      </c>
    </row>
    <row r="714" spans="1:8" x14ac:dyDescent="0.2">
      <c r="A714" s="2" t="s">
        <v>82</v>
      </c>
      <c r="B714" s="4">
        <v>25</v>
      </c>
      <c r="C714" s="5">
        <v>0.37</v>
      </c>
      <c r="D714" s="4">
        <v>5</v>
      </c>
      <c r="E714" s="5">
        <v>0.15</v>
      </c>
      <c r="F714" s="4">
        <v>20</v>
      </c>
      <c r="G714" s="5">
        <v>0.61</v>
      </c>
      <c r="H714" s="4">
        <v>0</v>
      </c>
    </row>
    <row r="715" spans="1:8" x14ac:dyDescent="0.2">
      <c r="A715" s="2" t="s">
        <v>83</v>
      </c>
      <c r="B715" s="4">
        <v>748</v>
      </c>
      <c r="C715" s="5">
        <v>11.21</v>
      </c>
      <c r="D715" s="4">
        <v>167</v>
      </c>
      <c r="E715" s="5">
        <v>4.95</v>
      </c>
      <c r="F715" s="4">
        <v>579</v>
      </c>
      <c r="G715" s="5">
        <v>17.61</v>
      </c>
      <c r="H715" s="4">
        <v>0</v>
      </c>
    </row>
    <row r="716" spans="1:8" x14ac:dyDescent="0.2">
      <c r="A716" s="2" t="s">
        <v>84</v>
      </c>
      <c r="B716" s="4">
        <v>183</v>
      </c>
      <c r="C716" s="5">
        <v>2.74</v>
      </c>
      <c r="D716" s="4">
        <v>110</v>
      </c>
      <c r="E716" s="5">
        <v>3.26</v>
      </c>
      <c r="F716" s="4">
        <v>73</v>
      </c>
      <c r="G716" s="5">
        <v>2.2200000000000002</v>
      </c>
      <c r="H716" s="4">
        <v>0</v>
      </c>
    </row>
    <row r="717" spans="1:8" x14ac:dyDescent="0.2">
      <c r="A717" s="2" t="s">
        <v>85</v>
      </c>
      <c r="B717" s="4">
        <v>635</v>
      </c>
      <c r="C717" s="5">
        <v>9.52</v>
      </c>
      <c r="D717" s="4">
        <v>571</v>
      </c>
      <c r="E717" s="5">
        <v>16.93</v>
      </c>
      <c r="F717" s="4">
        <v>64</v>
      </c>
      <c r="G717" s="5">
        <v>1.95</v>
      </c>
      <c r="H717" s="4">
        <v>0</v>
      </c>
    </row>
    <row r="718" spans="1:8" x14ac:dyDescent="0.2">
      <c r="A718" s="2" t="s">
        <v>86</v>
      </c>
      <c r="B718" s="4">
        <v>570</v>
      </c>
      <c r="C718" s="5">
        <v>8.5399999999999991</v>
      </c>
      <c r="D718" s="4">
        <v>450</v>
      </c>
      <c r="E718" s="5">
        <v>13.34</v>
      </c>
      <c r="F718" s="4">
        <v>120</v>
      </c>
      <c r="G718" s="5">
        <v>3.65</v>
      </c>
      <c r="H718" s="4">
        <v>0</v>
      </c>
    </row>
    <row r="719" spans="1:8" x14ac:dyDescent="0.2">
      <c r="A719" s="2" t="s">
        <v>87</v>
      </c>
      <c r="B719" s="4">
        <v>191</v>
      </c>
      <c r="C719" s="5">
        <v>2.86</v>
      </c>
      <c r="D719" s="4">
        <v>158</v>
      </c>
      <c r="E719" s="5">
        <v>4.68</v>
      </c>
      <c r="F719" s="4">
        <v>32</v>
      </c>
      <c r="G719" s="5">
        <v>0.97</v>
      </c>
      <c r="H719" s="4">
        <v>0</v>
      </c>
    </row>
    <row r="720" spans="1:8" x14ac:dyDescent="0.2">
      <c r="A720" s="2" t="s">
        <v>88</v>
      </c>
      <c r="B720" s="4">
        <v>325</v>
      </c>
      <c r="C720" s="5">
        <v>4.87</v>
      </c>
      <c r="D720" s="4">
        <v>206</v>
      </c>
      <c r="E720" s="5">
        <v>6.11</v>
      </c>
      <c r="F720" s="4">
        <v>118</v>
      </c>
      <c r="G720" s="5">
        <v>3.59</v>
      </c>
      <c r="H720" s="4">
        <v>0</v>
      </c>
    </row>
    <row r="721" spans="1:8" x14ac:dyDescent="0.2">
      <c r="A721" s="2" t="s">
        <v>89</v>
      </c>
      <c r="B721" s="4">
        <v>210</v>
      </c>
      <c r="C721" s="5">
        <v>3.15</v>
      </c>
      <c r="D721" s="4">
        <v>96</v>
      </c>
      <c r="E721" s="5">
        <v>2.85</v>
      </c>
      <c r="F721" s="4">
        <v>111</v>
      </c>
      <c r="G721" s="5">
        <v>3.38</v>
      </c>
      <c r="H721" s="4">
        <v>2</v>
      </c>
    </row>
    <row r="722" spans="1:8" x14ac:dyDescent="0.2">
      <c r="A722" s="1" t="s">
        <v>45</v>
      </c>
      <c r="B722" s="4">
        <v>2588</v>
      </c>
      <c r="C722" s="5">
        <v>99.990000000000009</v>
      </c>
      <c r="D722" s="4">
        <v>1321</v>
      </c>
      <c r="E722" s="5">
        <v>100.02</v>
      </c>
      <c r="F722" s="4">
        <v>1257</v>
      </c>
      <c r="G722" s="5">
        <v>100.02000000000001</v>
      </c>
      <c r="H722" s="4">
        <v>3</v>
      </c>
    </row>
    <row r="723" spans="1:8" x14ac:dyDescent="0.2">
      <c r="A723" s="2" t="s">
        <v>75</v>
      </c>
      <c r="B723" s="4">
        <v>0</v>
      </c>
      <c r="C723" s="5">
        <v>0</v>
      </c>
      <c r="D723" s="4">
        <v>0</v>
      </c>
      <c r="E723" s="5">
        <v>0</v>
      </c>
      <c r="F723" s="4">
        <v>0</v>
      </c>
      <c r="G723" s="5">
        <v>0</v>
      </c>
      <c r="H723" s="4">
        <v>0</v>
      </c>
    </row>
    <row r="724" spans="1:8" x14ac:dyDescent="0.2">
      <c r="A724" s="2" t="s">
        <v>76</v>
      </c>
      <c r="B724" s="4">
        <v>257</v>
      </c>
      <c r="C724" s="5">
        <v>9.93</v>
      </c>
      <c r="D724" s="4">
        <v>75</v>
      </c>
      <c r="E724" s="5">
        <v>5.68</v>
      </c>
      <c r="F724" s="4">
        <v>182</v>
      </c>
      <c r="G724" s="5">
        <v>14.48</v>
      </c>
      <c r="H724" s="4">
        <v>0</v>
      </c>
    </row>
    <row r="725" spans="1:8" x14ac:dyDescent="0.2">
      <c r="A725" s="2" t="s">
        <v>77</v>
      </c>
      <c r="B725" s="4">
        <v>358</v>
      </c>
      <c r="C725" s="5">
        <v>13.83</v>
      </c>
      <c r="D725" s="4">
        <v>170</v>
      </c>
      <c r="E725" s="5">
        <v>12.87</v>
      </c>
      <c r="F725" s="4">
        <v>188</v>
      </c>
      <c r="G725" s="5">
        <v>14.96</v>
      </c>
      <c r="H725" s="4">
        <v>0</v>
      </c>
    </row>
    <row r="726" spans="1:8" x14ac:dyDescent="0.2">
      <c r="A726" s="2" t="s">
        <v>78</v>
      </c>
      <c r="B726" s="4">
        <v>2</v>
      </c>
      <c r="C726" s="5">
        <v>0.08</v>
      </c>
      <c r="D726" s="4">
        <v>0</v>
      </c>
      <c r="E726" s="5">
        <v>0</v>
      </c>
      <c r="F726" s="4">
        <v>2</v>
      </c>
      <c r="G726" s="5">
        <v>0.16</v>
      </c>
      <c r="H726" s="4">
        <v>0</v>
      </c>
    </row>
    <row r="727" spans="1:8" x14ac:dyDescent="0.2">
      <c r="A727" s="2" t="s">
        <v>79</v>
      </c>
      <c r="B727" s="4">
        <v>24</v>
      </c>
      <c r="C727" s="5">
        <v>0.93</v>
      </c>
      <c r="D727" s="4">
        <v>0</v>
      </c>
      <c r="E727" s="5">
        <v>0</v>
      </c>
      <c r="F727" s="4">
        <v>24</v>
      </c>
      <c r="G727" s="5">
        <v>1.91</v>
      </c>
      <c r="H727" s="4">
        <v>0</v>
      </c>
    </row>
    <row r="728" spans="1:8" x14ac:dyDescent="0.2">
      <c r="A728" s="2" t="s">
        <v>80</v>
      </c>
      <c r="B728" s="4">
        <v>78</v>
      </c>
      <c r="C728" s="5">
        <v>3.01</v>
      </c>
      <c r="D728" s="4">
        <v>2</v>
      </c>
      <c r="E728" s="5">
        <v>0.15</v>
      </c>
      <c r="F728" s="4">
        <v>75</v>
      </c>
      <c r="G728" s="5">
        <v>5.97</v>
      </c>
      <c r="H728" s="4">
        <v>1</v>
      </c>
    </row>
    <row r="729" spans="1:8" x14ac:dyDescent="0.2">
      <c r="A729" s="2" t="s">
        <v>81</v>
      </c>
      <c r="B729" s="4">
        <v>631</v>
      </c>
      <c r="C729" s="5">
        <v>24.38</v>
      </c>
      <c r="D729" s="4">
        <v>314</v>
      </c>
      <c r="E729" s="5">
        <v>23.77</v>
      </c>
      <c r="F729" s="4">
        <v>317</v>
      </c>
      <c r="G729" s="5">
        <v>25.22</v>
      </c>
      <c r="H729" s="4">
        <v>0</v>
      </c>
    </row>
    <row r="730" spans="1:8" x14ac:dyDescent="0.2">
      <c r="A730" s="2" t="s">
        <v>82</v>
      </c>
      <c r="B730" s="4">
        <v>14</v>
      </c>
      <c r="C730" s="5">
        <v>0.54</v>
      </c>
      <c r="D730" s="4">
        <v>5</v>
      </c>
      <c r="E730" s="5">
        <v>0.38</v>
      </c>
      <c r="F730" s="4">
        <v>9</v>
      </c>
      <c r="G730" s="5">
        <v>0.72</v>
      </c>
      <c r="H730" s="4">
        <v>0</v>
      </c>
    </row>
    <row r="731" spans="1:8" x14ac:dyDescent="0.2">
      <c r="A731" s="2" t="s">
        <v>83</v>
      </c>
      <c r="B731" s="4">
        <v>219</v>
      </c>
      <c r="C731" s="5">
        <v>8.4600000000000009</v>
      </c>
      <c r="D731" s="4">
        <v>50</v>
      </c>
      <c r="E731" s="5">
        <v>3.79</v>
      </c>
      <c r="F731" s="4">
        <v>168</v>
      </c>
      <c r="G731" s="5">
        <v>13.37</v>
      </c>
      <c r="H731" s="4">
        <v>1</v>
      </c>
    </row>
    <row r="732" spans="1:8" x14ac:dyDescent="0.2">
      <c r="A732" s="2" t="s">
        <v>84</v>
      </c>
      <c r="B732" s="4">
        <v>98</v>
      </c>
      <c r="C732" s="5">
        <v>3.79</v>
      </c>
      <c r="D732" s="4">
        <v>63</v>
      </c>
      <c r="E732" s="5">
        <v>4.7699999999999996</v>
      </c>
      <c r="F732" s="4">
        <v>35</v>
      </c>
      <c r="G732" s="5">
        <v>2.78</v>
      </c>
      <c r="H732" s="4">
        <v>0</v>
      </c>
    </row>
    <row r="733" spans="1:8" x14ac:dyDescent="0.2">
      <c r="A733" s="2" t="s">
        <v>85</v>
      </c>
      <c r="B733" s="4">
        <v>289</v>
      </c>
      <c r="C733" s="5">
        <v>11.17</v>
      </c>
      <c r="D733" s="4">
        <v>247</v>
      </c>
      <c r="E733" s="5">
        <v>18.7</v>
      </c>
      <c r="F733" s="4">
        <v>41</v>
      </c>
      <c r="G733" s="5">
        <v>3.26</v>
      </c>
      <c r="H733" s="4">
        <v>0</v>
      </c>
    </row>
    <row r="734" spans="1:8" x14ac:dyDescent="0.2">
      <c r="A734" s="2" t="s">
        <v>86</v>
      </c>
      <c r="B734" s="4">
        <v>292</v>
      </c>
      <c r="C734" s="5">
        <v>11.28</v>
      </c>
      <c r="D734" s="4">
        <v>219</v>
      </c>
      <c r="E734" s="5">
        <v>16.579999999999998</v>
      </c>
      <c r="F734" s="4">
        <v>73</v>
      </c>
      <c r="G734" s="5">
        <v>5.81</v>
      </c>
      <c r="H734" s="4">
        <v>0</v>
      </c>
    </row>
    <row r="735" spans="1:8" x14ac:dyDescent="0.2">
      <c r="A735" s="2" t="s">
        <v>87</v>
      </c>
      <c r="B735" s="4">
        <v>80</v>
      </c>
      <c r="C735" s="5">
        <v>3.09</v>
      </c>
      <c r="D735" s="4">
        <v>52</v>
      </c>
      <c r="E735" s="5">
        <v>3.94</v>
      </c>
      <c r="F735" s="4">
        <v>27</v>
      </c>
      <c r="G735" s="5">
        <v>2.15</v>
      </c>
      <c r="H735" s="4">
        <v>0</v>
      </c>
    </row>
    <row r="736" spans="1:8" x14ac:dyDescent="0.2">
      <c r="A736" s="2" t="s">
        <v>88</v>
      </c>
      <c r="B736" s="4">
        <v>137</v>
      </c>
      <c r="C736" s="5">
        <v>5.29</v>
      </c>
      <c r="D736" s="4">
        <v>79</v>
      </c>
      <c r="E736" s="5">
        <v>5.98</v>
      </c>
      <c r="F736" s="4">
        <v>55</v>
      </c>
      <c r="G736" s="5">
        <v>4.38</v>
      </c>
      <c r="H736" s="4">
        <v>0</v>
      </c>
    </row>
    <row r="737" spans="1:8" x14ac:dyDescent="0.2">
      <c r="A737" s="2" t="s">
        <v>89</v>
      </c>
      <c r="B737" s="4">
        <v>109</v>
      </c>
      <c r="C737" s="5">
        <v>4.21</v>
      </c>
      <c r="D737" s="4">
        <v>45</v>
      </c>
      <c r="E737" s="5">
        <v>3.41</v>
      </c>
      <c r="F737" s="4">
        <v>61</v>
      </c>
      <c r="G737" s="5">
        <v>4.8499999999999996</v>
      </c>
      <c r="H737" s="4">
        <v>1</v>
      </c>
    </row>
    <row r="738" spans="1:8" x14ac:dyDescent="0.2">
      <c r="A738" s="1" t="s">
        <v>46</v>
      </c>
      <c r="B738" s="4">
        <v>1999</v>
      </c>
      <c r="C738" s="5">
        <v>99.990000000000023</v>
      </c>
      <c r="D738" s="4">
        <v>1075</v>
      </c>
      <c r="E738" s="5">
        <v>99.99</v>
      </c>
      <c r="F738" s="4">
        <v>912</v>
      </c>
      <c r="G738" s="5">
        <v>100.01</v>
      </c>
      <c r="H738" s="4">
        <v>5</v>
      </c>
    </row>
    <row r="739" spans="1:8" x14ac:dyDescent="0.2">
      <c r="A739" s="2" t="s">
        <v>75</v>
      </c>
      <c r="B739" s="4">
        <v>0</v>
      </c>
      <c r="C739" s="5">
        <v>0</v>
      </c>
      <c r="D739" s="4">
        <v>0</v>
      </c>
      <c r="E739" s="5">
        <v>0</v>
      </c>
      <c r="F739" s="4">
        <v>0</v>
      </c>
      <c r="G739" s="5">
        <v>0</v>
      </c>
      <c r="H739" s="4">
        <v>0</v>
      </c>
    </row>
    <row r="740" spans="1:8" x14ac:dyDescent="0.2">
      <c r="A740" s="2" t="s">
        <v>76</v>
      </c>
      <c r="B740" s="4">
        <v>224</v>
      </c>
      <c r="C740" s="5">
        <v>11.21</v>
      </c>
      <c r="D740" s="4">
        <v>63</v>
      </c>
      <c r="E740" s="5">
        <v>5.86</v>
      </c>
      <c r="F740" s="4">
        <v>161</v>
      </c>
      <c r="G740" s="5">
        <v>17.649999999999999</v>
      </c>
      <c r="H740" s="4">
        <v>0</v>
      </c>
    </row>
    <row r="741" spans="1:8" x14ac:dyDescent="0.2">
      <c r="A741" s="2" t="s">
        <v>77</v>
      </c>
      <c r="B741" s="4">
        <v>259</v>
      </c>
      <c r="C741" s="5">
        <v>12.96</v>
      </c>
      <c r="D741" s="4">
        <v>86</v>
      </c>
      <c r="E741" s="5">
        <v>8</v>
      </c>
      <c r="F741" s="4">
        <v>173</v>
      </c>
      <c r="G741" s="5">
        <v>18.97</v>
      </c>
      <c r="H741" s="4">
        <v>0</v>
      </c>
    </row>
    <row r="742" spans="1:8" x14ac:dyDescent="0.2">
      <c r="A742" s="2" t="s">
        <v>78</v>
      </c>
      <c r="B742" s="4">
        <v>1</v>
      </c>
      <c r="C742" s="5">
        <v>0.05</v>
      </c>
      <c r="D742" s="4">
        <v>0</v>
      </c>
      <c r="E742" s="5">
        <v>0</v>
      </c>
      <c r="F742" s="4">
        <v>1</v>
      </c>
      <c r="G742" s="5">
        <v>0.11</v>
      </c>
      <c r="H742" s="4">
        <v>0</v>
      </c>
    </row>
    <row r="743" spans="1:8" x14ac:dyDescent="0.2">
      <c r="A743" s="2" t="s">
        <v>79</v>
      </c>
      <c r="B743" s="4">
        <v>15</v>
      </c>
      <c r="C743" s="5">
        <v>0.75</v>
      </c>
      <c r="D743" s="4">
        <v>0</v>
      </c>
      <c r="E743" s="5">
        <v>0</v>
      </c>
      <c r="F743" s="4">
        <v>14</v>
      </c>
      <c r="G743" s="5">
        <v>1.54</v>
      </c>
      <c r="H743" s="4">
        <v>1</v>
      </c>
    </row>
    <row r="744" spans="1:8" x14ac:dyDescent="0.2">
      <c r="A744" s="2" t="s">
        <v>80</v>
      </c>
      <c r="B744" s="4">
        <v>22</v>
      </c>
      <c r="C744" s="5">
        <v>1.1000000000000001</v>
      </c>
      <c r="D744" s="4">
        <v>3</v>
      </c>
      <c r="E744" s="5">
        <v>0.28000000000000003</v>
      </c>
      <c r="F744" s="4">
        <v>19</v>
      </c>
      <c r="G744" s="5">
        <v>2.08</v>
      </c>
      <c r="H744" s="4">
        <v>0</v>
      </c>
    </row>
    <row r="745" spans="1:8" x14ac:dyDescent="0.2">
      <c r="A745" s="2" t="s">
        <v>81</v>
      </c>
      <c r="B745" s="4">
        <v>406</v>
      </c>
      <c r="C745" s="5">
        <v>20.309999999999999</v>
      </c>
      <c r="D745" s="4">
        <v>216</v>
      </c>
      <c r="E745" s="5">
        <v>20.09</v>
      </c>
      <c r="F745" s="4">
        <v>189</v>
      </c>
      <c r="G745" s="5">
        <v>20.72</v>
      </c>
      <c r="H745" s="4">
        <v>1</v>
      </c>
    </row>
    <row r="746" spans="1:8" x14ac:dyDescent="0.2">
      <c r="A746" s="2" t="s">
        <v>82</v>
      </c>
      <c r="B746" s="4">
        <v>7</v>
      </c>
      <c r="C746" s="5">
        <v>0.35</v>
      </c>
      <c r="D746" s="4">
        <v>1</v>
      </c>
      <c r="E746" s="5">
        <v>0.09</v>
      </c>
      <c r="F746" s="4">
        <v>6</v>
      </c>
      <c r="G746" s="5">
        <v>0.66</v>
      </c>
      <c r="H746" s="4">
        <v>0</v>
      </c>
    </row>
    <row r="747" spans="1:8" x14ac:dyDescent="0.2">
      <c r="A747" s="2" t="s">
        <v>83</v>
      </c>
      <c r="B747" s="4">
        <v>380</v>
      </c>
      <c r="C747" s="5">
        <v>19.010000000000002</v>
      </c>
      <c r="D747" s="4">
        <v>213</v>
      </c>
      <c r="E747" s="5">
        <v>19.809999999999999</v>
      </c>
      <c r="F747" s="4">
        <v>166</v>
      </c>
      <c r="G747" s="5">
        <v>18.2</v>
      </c>
      <c r="H747" s="4">
        <v>1</v>
      </c>
    </row>
    <row r="748" spans="1:8" x14ac:dyDescent="0.2">
      <c r="A748" s="2" t="s">
        <v>84</v>
      </c>
      <c r="B748" s="4">
        <v>75</v>
      </c>
      <c r="C748" s="5">
        <v>3.75</v>
      </c>
      <c r="D748" s="4">
        <v>36</v>
      </c>
      <c r="E748" s="5">
        <v>3.35</v>
      </c>
      <c r="F748" s="4">
        <v>39</v>
      </c>
      <c r="G748" s="5">
        <v>4.28</v>
      </c>
      <c r="H748" s="4">
        <v>0</v>
      </c>
    </row>
    <row r="749" spans="1:8" x14ac:dyDescent="0.2">
      <c r="A749" s="2" t="s">
        <v>85</v>
      </c>
      <c r="B749" s="4">
        <v>158</v>
      </c>
      <c r="C749" s="5">
        <v>7.9</v>
      </c>
      <c r="D749" s="4">
        <v>141</v>
      </c>
      <c r="E749" s="5">
        <v>13.12</v>
      </c>
      <c r="F749" s="4">
        <v>17</v>
      </c>
      <c r="G749" s="5">
        <v>1.86</v>
      </c>
      <c r="H749" s="4">
        <v>0</v>
      </c>
    </row>
    <row r="750" spans="1:8" x14ac:dyDescent="0.2">
      <c r="A750" s="2" t="s">
        <v>86</v>
      </c>
      <c r="B750" s="4">
        <v>199</v>
      </c>
      <c r="C750" s="5">
        <v>9.9499999999999993</v>
      </c>
      <c r="D750" s="4">
        <v>159</v>
      </c>
      <c r="E750" s="5">
        <v>14.79</v>
      </c>
      <c r="F750" s="4">
        <v>38</v>
      </c>
      <c r="G750" s="5">
        <v>4.17</v>
      </c>
      <c r="H750" s="4">
        <v>0</v>
      </c>
    </row>
    <row r="751" spans="1:8" x14ac:dyDescent="0.2">
      <c r="A751" s="2" t="s">
        <v>87</v>
      </c>
      <c r="B751" s="4">
        <v>90</v>
      </c>
      <c r="C751" s="5">
        <v>4.5</v>
      </c>
      <c r="D751" s="4">
        <v>73</v>
      </c>
      <c r="E751" s="5">
        <v>6.79</v>
      </c>
      <c r="F751" s="4">
        <v>14</v>
      </c>
      <c r="G751" s="5">
        <v>1.54</v>
      </c>
      <c r="H751" s="4">
        <v>0</v>
      </c>
    </row>
    <row r="752" spans="1:8" x14ac:dyDescent="0.2">
      <c r="A752" s="2" t="s">
        <v>88</v>
      </c>
      <c r="B752" s="4">
        <v>108</v>
      </c>
      <c r="C752" s="5">
        <v>5.4</v>
      </c>
      <c r="D752" s="4">
        <v>63</v>
      </c>
      <c r="E752" s="5">
        <v>5.86</v>
      </c>
      <c r="F752" s="4">
        <v>41</v>
      </c>
      <c r="G752" s="5">
        <v>4.5</v>
      </c>
      <c r="H752" s="4">
        <v>2</v>
      </c>
    </row>
    <row r="753" spans="1:8" x14ac:dyDescent="0.2">
      <c r="A753" s="2" t="s">
        <v>89</v>
      </c>
      <c r="B753" s="4">
        <v>55</v>
      </c>
      <c r="C753" s="5">
        <v>2.75</v>
      </c>
      <c r="D753" s="4">
        <v>21</v>
      </c>
      <c r="E753" s="5">
        <v>1.95</v>
      </c>
      <c r="F753" s="4">
        <v>34</v>
      </c>
      <c r="G753" s="5">
        <v>3.73</v>
      </c>
      <c r="H753" s="4">
        <v>0</v>
      </c>
    </row>
    <row r="754" spans="1:8" x14ac:dyDescent="0.2">
      <c r="A754" s="1" t="s">
        <v>47</v>
      </c>
      <c r="B754" s="4">
        <v>4154</v>
      </c>
      <c r="C754" s="5">
        <v>100</v>
      </c>
      <c r="D754" s="4">
        <v>2209</v>
      </c>
      <c r="E754" s="5">
        <v>99.999999999999986</v>
      </c>
      <c r="F754" s="4">
        <v>1930</v>
      </c>
      <c r="G754" s="5">
        <v>99.990000000000009</v>
      </c>
      <c r="H754" s="4">
        <v>7</v>
      </c>
    </row>
    <row r="755" spans="1:8" x14ac:dyDescent="0.2">
      <c r="A755" s="2" t="s">
        <v>75</v>
      </c>
      <c r="B755" s="4">
        <v>0</v>
      </c>
      <c r="C755" s="5">
        <v>0</v>
      </c>
      <c r="D755" s="4">
        <v>0</v>
      </c>
      <c r="E755" s="5">
        <v>0</v>
      </c>
      <c r="F755" s="4">
        <v>0</v>
      </c>
      <c r="G755" s="5">
        <v>0</v>
      </c>
      <c r="H755" s="4">
        <v>0</v>
      </c>
    </row>
    <row r="756" spans="1:8" x14ac:dyDescent="0.2">
      <c r="A756" s="2" t="s">
        <v>76</v>
      </c>
      <c r="B756" s="4">
        <v>564</v>
      </c>
      <c r="C756" s="5">
        <v>13.58</v>
      </c>
      <c r="D756" s="4">
        <v>134</v>
      </c>
      <c r="E756" s="5">
        <v>6.07</v>
      </c>
      <c r="F756" s="4">
        <v>430</v>
      </c>
      <c r="G756" s="5">
        <v>22.28</v>
      </c>
      <c r="H756" s="4">
        <v>0</v>
      </c>
    </row>
    <row r="757" spans="1:8" x14ac:dyDescent="0.2">
      <c r="A757" s="2" t="s">
        <v>77</v>
      </c>
      <c r="B757" s="4">
        <v>353</v>
      </c>
      <c r="C757" s="5">
        <v>8.5</v>
      </c>
      <c r="D757" s="4">
        <v>110</v>
      </c>
      <c r="E757" s="5">
        <v>4.9800000000000004</v>
      </c>
      <c r="F757" s="4">
        <v>243</v>
      </c>
      <c r="G757" s="5">
        <v>12.59</v>
      </c>
      <c r="H757" s="4">
        <v>0</v>
      </c>
    </row>
    <row r="758" spans="1:8" x14ac:dyDescent="0.2">
      <c r="A758" s="2" t="s">
        <v>78</v>
      </c>
      <c r="B758" s="4">
        <v>2</v>
      </c>
      <c r="C758" s="5">
        <v>0.05</v>
      </c>
      <c r="D758" s="4">
        <v>0</v>
      </c>
      <c r="E758" s="5">
        <v>0</v>
      </c>
      <c r="F758" s="4">
        <v>2</v>
      </c>
      <c r="G758" s="5">
        <v>0.1</v>
      </c>
      <c r="H758" s="4">
        <v>0</v>
      </c>
    </row>
    <row r="759" spans="1:8" x14ac:dyDescent="0.2">
      <c r="A759" s="2" t="s">
        <v>79</v>
      </c>
      <c r="B759" s="4">
        <v>35</v>
      </c>
      <c r="C759" s="5">
        <v>0.84</v>
      </c>
      <c r="D759" s="4">
        <v>3</v>
      </c>
      <c r="E759" s="5">
        <v>0.14000000000000001</v>
      </c>
      <c r="F759" s="4">
        <v>32</v>
      </c>
      <c r="G759" s="5">
        <v>1.66</v>
      </c>
      <c r="H759" s="4">
        <v>0</v>
      </c>
    </row>
    <row r="760" spans="1:8" x14ac:dyDescent="0.2">
      <c r="A760" s="2" t="s">
        <v>80</v>
      </c>
      <c r="B760" s="4">
        <v>38</v>
      </c>
      <c r="C760" s="5">
        <v>0.91</v>
      </c>
      <c r="D760" s="4">
        <v>3</v>
      </c>
      <c r="E760" s="5">
        <v>0.14000000000000001</v>
      </c>
      <c r="F760" s="4">
        <v>35</v>
      </c>
      <c r="G760" s="5">
        <v>1.81</v>
      </c>
      <c r="H760" s="4">
        <v>0</v>
      </c>
    </row>
    <row r="761" spans="1:8" x14ac:dyDescent="0.2">
      <c r="A761" s="2" t="s">
        <v>81</v>
      </c>
      <c r="B761" s="4">
        <v>802</v>
      </c>
      <c r="C761" s="5">
        <v>19.309999999999999</v>
      </c>
      <c r="D761" s="4">
        <v>441</v>
      </c>
      <c r="E761" s="5">
        <v>19.96</v>
      </c>
      <c r="F761" s="4">
        <v>361</v>
      </c>
      <c r="G761" s="5">
        <v>18.7</v>
      </c>
      <c r="H761" s="4">
        <v>0</v>
      </c>
    </row>
    <row r="762" spans="1:8" x14ac:dyDescent="0.2">
      <c r="A762" s="2" t="s">
        <v>82</v>
      </c>
      <c r="B762" s="4">
        <v>15</v>
      </c>
      <c r="C762" s="5">
        <v>0.36</v>
      </c>
      <c r="D762" s="4">
        <v>3</v>
      </c>
      <c r="E762" s="5">
        <v>0.14000000000000001</v>
      </c>
      <c r="F762" s="4">
        <v>12</v>
      </c>
      <c r="G762" s="5">
        <v>0.62</v>
      </c>
      <c r="H762" s="4">
        <v>0</v>
      </c>
    </row>
    <row r="763" spans="1:8" x14ac:dyDescent="0.2">
      <c r="A763" s="2" t="s">
        <v>83</v>
      </c>
      <c r="B763" s="4">
        <v>549</v>
      </c>
      <c r="C763" s="5">
        <v>13.22</v>
      </c>
      <c r="D763" s="4">
        <v>185</v>
      </c>
      <c r="E763" s="5">
        <v>8.3699999999999992</v>
      </c>
      <c r="F763" s="4">
        <v>364</v>
      </c>
      <c r="G763" s="5">
        <v>18.86</v>
      </c>
      <c r="H763" s="4">
        <v>0</v>
      </c>
    </row>
    <row r="764" spans="1:8" x14ac:dyDescent="0.2">
      <c r="A764" s="2" t="s">
        <v>84</v>
      </c>
      <c r="B764" s="4">
        <v>157</v>
      </c>
      <c r="C764" s="5">
        <v>3.78</v>
      </c>
      <c r="D764" s="4">
        <v>83</v>
      </c>
      <c r="E764" s="5">
        <v>3.76</v>
      </c>
      <c r="F764" s="4">
        <v>74</v>
      </c>
      <c r="G764" s="5">
        <v>3.83</v>
      </c>
      <c r="H764" s="4">
        <v>0</v>
      </c>
    </row>
    <row r="765" spans="1:8" x14ac:dyDescent="0.2">
      <c r="A765" s="2" t="s">
        <v>85</v>
      </c>
      <c r="B765" s="4">
        <v>591</v>
      </c>
      <c r="C765" s="5">
        <v>14.23</v>
      </c>
      <c r="D765" s="4">
        <v>518</v>
      </c>
      <c r="E765" s="5">
        <v>23.45</v>
      </c>
      <c r="F765" s="4">
        <v>72</v>
      </c>
      <c r="G765" s="5">
        <v>3.73</v>
      </c>
      <c r="H765" s="4">
        <v>0</v>
      </c>
    </row>
    <row r="766" spans="1:8" x14ac:dyDescent="0.2">
      <c r="A766" s="2" t="s">
        <v>86</v>
      </c>
      <c r="B766" s="4">
        <v>536</v>
      </c>
      <c r="C766" s="5">
        <v>12.9</v>
      </c>
      <c r="D766" s="4">
        <v>443</v>
      </c>
      <c r="E766" s="5">
        <v>20.05</v>
      </c>
      <c r="F766" s="4">
        <v>91</v>
      </c>
      <c r="G766" s="5">
        <v>4.72</v>
      </c>
      <c r="H766" s="4">
        <v>2</v>
      </c>
    </row>
    <row r="767" spans="1:8" x14ac:dyDescent="0.2">
      <c r="A767" s="2" t="s">
        <v>87</v>
      </c>
      <c r="B767" s="4">
        <v>138</v>
      </c>
      <c r="C767" s="5">
        <v>3.32</v>
      </c>
      <c r="D767" s="4">
        <v>101</v>
      </c>
      <c r="E767" s="5">
        <v>4.57</v>
      </c>
      <c r="F767" s="4">
        <v>35</v>
      </c>
      <c r="G767" s="5">
        <v>1.81</v>
      </c>
      <c r="H767" s="4">
        <v>1</v>
      </c>
    </row>
    <row r="768" spans="1:8" x14ac:dyDescent="0.2">
      <c r="A768" s="2" t="s">
        <v>88</v>
      </c>
      <c r="B768" s="4">
        <v>256</v>
      </c>
      <c r="C768" s="5">
        <v>6.16</v>
      </c>
      <c r="D768" s="4">
        <v>141</v>
      </c>
      <c r="E768" s="5">
        <v>6.38</v>
      </c>
      <c r="F768" s="4">
        <v>109</v>
      </c>
      <c r="G768" s="5">
        <v>5.65</v>
      </c>
      <c r="H768" s="4">
        <v>1</v>
      </c>
    </row>
    <row r="769" spans="1:8" x14ac:dyDescent="0.2">
      <c r="A769" s="2" t="s">
        <v>89</v>
      </c>
      <c r="B769" s="4">
        <v>118</v>
      </c>
      <c r="C769" s="5">
        <v>2.84</v>
      </c>
      <c r="D769" s="4">
        <v>44</v>
      </c>
      <c r="E769" s="5">
        <v>1.99</v>
      </c>
      <c r="F769" s="4">
        <v>70</v>
      </c>
      <c r="G769" s="5">
        <v>3.63</v>
      </c>
      <c r="H769" s="4">
        <v>3</v>
      </c>
    </row>
    <row r="770" spans="1:8" x14ac:dyDescent="0.2">
      <c r="A770" s="1" t="s">
        <v>48</v>
      </c>
      <c r="B770" s="4">
        <v>1631</v>
      </c>
      <c r="C770" s="5">
        <v>99.999999999999986</v>
      </c>
      <c r="D770" s="4">
        <v>905</v>
      </c>
      <c r="E770" s="5">
        <v>99.990000000000009</v>
      </c>
      <c r="F770" s="4">
        <v>712</v>
      </c>
      <c r="G770" s="5">
        <v>100.00999999999999</v>
      </c>
      <c r="H770" s="4">
        <v>3</v>
      </c>
    </row>
    <row r="771" spans="1:8" x14ac:dyDescent="0.2">
      <c r="A771" s="2" t="s">
        <v>75</v>
      </c>
      <c r="B771" s="4">
        <v>0</v>
      </c>
      <c r="C771" s="5">
        <v>0</v>
      </c>
      <c r="D771" s="4">
        <v>0</v>
      </c>
      <c r="E771" s="5">
        <v>0</v>
      </c>
      <c r="F771" s="4">
        <v>0</v>
      </c>
      <c r="G771" s="5">
        <v>0</v>
      </c>
      <c r="H771" s="4">
        <v>0</v>
      </c>
    </row>
    <row r="772" spans="1:8" x14ac:dyDescent="0.2">
      <c r="A772" s="2" t="s">
        <v>76</v>
      </c>
      <c r="B772" s="4">
        <v>185</v>
      </c>
      <c r="C772" s="5">
        <v>11.34</v>
      </c>
      <c r="D772" s="4">
        <v>47</v>
      </c>
      <c r="E772" s="5">
        <v>5.19</v>
      </c>
      <c r="F772" s="4">
        <v>138</v>
      </c>
      <c r="G772" s="5">
        <v>19.38</v>
      </c>
      <c r="H772" s="4">
        <v>0</v>
      </c>
    </row>
    <row r="773" spans="1:8" x14ac:dyDescent="0.2">
      <c r="A773" s="2" t="s">
        <v>77</v>
      </c>
      <c r="B773" s="4">
        <v>147</v>
      </c>
      <c r="C773" s="5">
        <v>9.01</v>
      </c>
      <c r="D773" s="4">
        <v>69</v>
      </c>
      <c r="E773" s="5">
        <v>7.62</v>
      </c>
      <c r="F773" s="4">
        <v>78</v>
      </c>
      <c r="G773" s="5">
        <v>10.96</v>
      </c>
      <c r="H773" s="4">
        <v>0</v>
      </c>
    </row>
    <row r="774" spans="1:8" x14ac:dyDescent="0.2">
      <c r="A774" s="2" t="s">
        <v>78</v>
      </c>
      <c r="B774" s="4">
        <v>2</v>
      </c>
      <c r="C774" s="5">
        <v>0.12</v>
      </c>
      <c r="D774" s="4">
        <v>0</v>
      </c>
      <c r="E774" s="5">
        <v>0</v>
      </c>
      <c r="F774" s="4">
        <v>2</v>
      </c>
      <c r="G774" s="5">
        <v>0.28000000000000003</v>
      </c>
      <c r="H774" s="4">
        <v>0</v>
      </c>
    </row>
    <row r="775" spans="1:8" x14ac:dyDescent="0.2">
      <c r="A775" s="2" t="s">
        <v>79</v>
      </c>
      <c r="B775" s="4">
        <v>20</v>
      </c>
      <c r="C775" s="5">
        <v>1.23</v>
      </c>
      <c r="D775" s="4">
        <v>2</v>
      </c>
      <c r="E775" s="5">
        <v>0.22</v>
      </c>
      <c r="F775" s="4">
        <v>18</v>
      </c>
      <c r="G775" s="5">
        <v>2.5299999999999998</v>
      </c>
      <c r="H775" s="4">
        <v>0</v>
      </c>
    </row>
    <row r="776" spans="1:8" x14ac:dyDescent="0.2">
      <c r="A776" s="2" t="s">
        <v>80</v>
      </c>
      <c r="B776" s="4">
        <v>7</v>
      </c>
      <c r="C776" s="5">
        <v>0.43</v>
      </c>
      <c r="D776" s="4">
        <v>2</v>
      </c>
      <c r="E776" s="5">
        <v>0.22</v>
      </c>
      <c r="F776" s="4">
        <v>4</v>
      </c>
      <c r="G776" s="5">
        <v>0.56000000000000005</v>
      </c>
      <c r="H776" s="4">
        <v>1</v>
      </c>
    </row>
    <row r="777" spans="1:8" x14ac:dyDescent="0.2">
      <c r="A777" s="2" t="s">
        <v>81</v>
      </c>
      <c r="B777" s="4">
        <v>374</v>
      </c>
      <c r="C777" s="5">
        <v>22.93</v>
      </c>
      <c r="D777" s="4">
        <v>218</v>
      </c>
      <c r="E777" s="5">
        <v>24.09</v>
      </c>
      <c r="F777" s="4">
        <v>155</v>
      </c>
      <c r="G777" s="5">
        <v>21.77</v>
      </c>
      <c r="H777" s="4">
        <v>1</v>
      </c>
    </row>
    <row r="778" spans="1:8" x14ac:dyDescent="0.2">
      <c r="A778" s="2" t="s">
        <v>82</v>
      </c>
      <c r="B778" s="4">
        <v>4</v>
      </c>
      <c r="C778" s="5">
        <v>0.25</v>
      </c>
      <c r="D778" s="4">
        <v>1</v>
      </c>
      <c r="E778" s="5">
        <v>0.11</v>
      </c>
      <c r="F778" s="4">
        <v>3</v>
      </c>
      <c r="G778" s="5">
        <v>0.42</v>
      </c>
      <c r="H778" s="4">
        <v>0</v>
      </c>
    </row>
    <row r="779" spans="1:8" x14ac:dyDescent="0.2">
      <c r="A779" s="2" t="s">
        <v>83</v>
      </c>
      <c r="B779" s="4">
        <v>215</v>
      </c>
      <c r="C779" s="5">
        <v>13.18</v>
      </c>
      <c r="D779" s="4">
        <v>92</v>
      </c>
      <c r="E779" s="5">
        <v>10.17</v>
      </c>
      <c r="F779" s="4">
        <v>123</v>
      </c>
      <c r="G779" s="5">
        <v>17.28</v>
      </c>
      <c r="H779" s="4">
        <v>0</v>
      </c>
    </row>
    <row r="780" spans="1:8" x14ac:dyDescent="0.2">
      <c r="A780" s="2" t="s">
        <v>84</v>
      </c>
      <c r="B780" s="4">
        <v>88</v>
      </c>
      <c r="C780" s="5">
        <v>5.4</v>
      </c>
      <c r="D780" s="4">
        <v>41</v>
      </c>
      <c r="E780" s="5">
        <v>4.53</v>
      </c>
      <c r="F780" s="4">
        <v>47</v>
      </c>
      <c r="G780" s="5">
        <v>6.6</v>
      </c>
      <c r="H780" s="4">
        <v>0</v>
      </c>
    </row>
    <row r="781" spans="1:8" x14ac:dyDescent="0.2">
      <c r="A781" s="2" t="s">
        <v>85</v>
      </c>
      <c r="B781" s="4">
        <v>143</v>
      </c>
      <c r="C781" s="5">
        <v>8.77</v>
      </c>
      <c r="D781" s="4">
        <v>126</v>
      </c>
      <c r="E781" s="5">
        <v>13.92</v>
      </c>
      <c r="F781" s="4">
        <v>17</v>
      </c>
      <c r="G781" s="5">
        <v>2.39</v>
      </c>
      <c r="H781" s="4">
        <v>0</v>
      </c>
    </row>
    <row r="782" spans="1:8" x14ac:dyDescent="0.2">
      <c r="A782" s="2" t="s">
        <v>86</v>
      </c>
      <c r="B782" s="4">
        <v>205</v>
      </c>
      <c r="C782" s="5">
        <v>12.57</v>
      </c>
      <c r="D782" s="4">
        <v>161</v>
      </c>
      <c r="E782" s="5">
        <v>17.79</v>
      </c>
      <c r="F782" s="4">
        <v>44</v>
      </c>
      <c r="G782" s="5">
        <v>6.18</v>
      </c>
      <c r="H782" s="4">
        <v>0</v>
      </c>
    </row>
    <row r="783" spans="1:8" x14ac:dyDescent="0.2">
      <c r="A783" s="2" t="s">
        <v>87</v>
      </c>
      <c r="B783" s="4">
        <v>95</v>
      </c>
      <c r="C783" s="5">
        <v>5.82</v>
      </c>
      <c r="D783" s="4">
        <v>70</v>
      </c>
      <c r="E783" s="5">
        <v>7.73</v>
      </c>
      <c r="F783" s="4">
        <v>16</v>
      </c>
      <c r="G783" s="5">
        <v>2.25</v>
      </c>
      <c r="H783" s="4">
        <v>0</v>
      </c>
    </row>
    <row r="784" spans="1:8" x14ac:dyDescent="0.2">
      <c r="A784" s="2" t="s">
        <v>88</v>
      </c>
      <c r="B784" s="4">
        <v>97</v>
      </c>
      <c r="C784" s="5">
        <v>5.95</v>
      </c>
      <c r="D784" s="4">
        <v>58</v>
      </c>
      <c r="E784" s="5">
        <v>6.41</v>
      </c>
      <c r="F784" s="4">
        <v>38</v>
      </c>
      <c r="G784" s="5">
        <v>5.34</v>
      </c>
      <c r="H784" s="4">
        <v>0</v>
      </c>
    </row>
    <row r="785" spans="1:8" x14ac:dyDescent="0.2">
      <c r="A785" s="2" t="s">
        <v>89</v>
      </c>
      <c r="B785" s="4">
        <v>49</v>
      </c>
      <c r="C785" s="5">
        <v>3</v>
      </c>
      <c r="D785" s="4">
        <v>18</v>
      </c>
      <c r="E785" s="5">
        <v>1.99</v>
      </c>
      <c r="F785" s="4">
        <v>29</v>
      </c>
      <c r="G785" s="5">
        <v>4.07</v>
      </c>
      <c r="H785" s="4">
        <v>1</v>
      </c>
    </row>
    <row r="786" spans="1:8" x14ac:dyDescent="0.2">
      <c r="A786" s="1" t="s">
        <v>49</v>
      </c>
      <c r="B786" s="4">
        <v>2797</v>
      </c>
      <c r="C786" s="5">
        <v>100.00000000000003</v>
      </c>
      <c r="D786" s="4">
        <v>1469</v>
      </c>
      <c r="E786" s="5">
        <v>100.01000000000002</v>
      </c>
      <c r="F786" s="4">
        <v>1307</v>
      </c>
      <c r="G786" s="5">
        <v>100.00999999999999</v>
      </c>
      <c r="H786" s="4">
        <v>1</v>
      </c>
    </row>
    <row r="787" spans="1:8" x14ac:dyDescent="0.2">
      <c r="A787" s="2" t="s">
        <v>75</v>
      </c>
      <c r="B787" s="4">
        <v>0</v>
      </c>
      <c r="C787" s="5">
        <v>0</v>
      </c>
      <c r="D787" s="4">
        <v>0</v>
      </c>
      <c r="E787" s="5">
        <v>0</v>
      </c>
      <c r="F787" s="4">
        <v>0</v>
      </c>
      <c r="G787" s="5">
        <v>0</v>
      </c>
      <c r="H787" s="4">
        <v>0</v>
      </c>
    </row>
    <row r="788" spans="1:8" x14ac:dyDescent="0.2">
      <c r="A788" s="2" t="s">
        <v>76</v>
      </c>
      <c r="B788" s="4">
        <v>378</v>
      </c>
      <c r="C788" s="5">
        <v>13.51</v>
      </c>
      <c r="D788" s="4">
        <v>92</v>
      </c>
      <c r="E788" s="5">
        <v>6.26</v>
      </c>
      <c r="F788" s="4">
        <v>286</v>
      </c>
      <c r="G788" s="5">
        <v>21.88</v>
      </c>
      <c r="H788" s="4">
        <v>0</v>
      </c>
    </row>
    <row r="789" spans="1:8" x14ac:dyDescent="0.2">
      <c r="A789" s="2" t="s">
        <v>77</v>
      </c>
      <c r="B789" s="4">
        <v>485</v>
      </c>
      <c r="C789" s="5">
        <v>17.34</v>
      </c>
      <c r="D789" s="4">
        <v>187</v>
      </c>
      <c r="E789" s="5">
        <v>12.73</v>
      </c>
      <c r="F789" s="4">
        <v>298</v>
      </c>
      <c r="G789" s="5">
        <v>22.8</v>
      </c>
      <c r="H789" s="4">
        <v>0</v>
      </c>
    </row>
    <row r="790" spans="1:8" x14ac:dyDescent="0.2">
      <c r="A790" s="2" t="s">
        <v>78</v>
      </c>
      <c r="B790" s="4">
        <v>3</v>
      </c>
      <c r="C790" s="5">
        <v>0.11</v>
      </c>
      <c r="D790" s="4">
        <v>0</v>
      </c>
      <c r="E790" s="5">
        <v>0</v>
      </c>
      <c r="F790" s="4">
        <v>3</v>
      </c>
      <c r="G790" s="5">
        <v>0.23</v>
      </c>
      <c r="H790" s="4">
        <v>0</v>
      </c>
    </row>
    <row r="791" spans="1:8" x14ac:dyDescent="0.2">
      <c r="A791" s="2" t="s">
        <v>79</v>
      </c>
      <c r="B791" s="4">
        <v>9</v>
      </c>
      <c r="C791" s="5">
        <v>0.32</v>
      </c>
      <c r="D791" s="4">
        <v>2</v>
      </c>
      <c r="E791" s="5">
        <v>0.14000000000000001</v>
      </c>
      <c r="F791" s="4">
        <v>7</v>
      </c>
      <c r="G791" s="5">
        <v>0.54</v>
      </c>
      <c r="H791" s="4">
        <v>0</v>
      </c>
    </row>
    <row r="792" spans="1:8" x14ac:dyDescent="0.2">
      <c r="A792" s="2" t="s">
        <v>80</v>
      </c>
      <c r="B792" s="4">
        <v>16</v>
      </c>
      <c r="C792" s="5">
        <v>0.56999999999999995</v>
      </c>
      <c r="D792" s="4">
        <v>3</v>
      </c>
      <c r="E792" s="5">
        <v>0.2</v>
      </c>
      <c r="F792" s="4">
        <v>13</v>
      </c>
      <c r="G792" s="5">
        <v>0.99</v>
      </c>
      <c r="H792" s="4">
        <v>0</v>
      </c>
    </row>
    <row r="793" spans="1:8" x14ac:dyDescent="0.2">
      <c r="A793" s="2" t="s">
        <v>81</v>
      </c>
      <c r="B793" s="4">
        <v>545</v>
      </c>
      <c r="C793" s="5">
        <v>19.489999999999998</v>
      </c>
      <c r="D793" s="4">
        <v>314</v>
      </c>
      <c r="E793" s="5">
        <v>21.38</v>
      </c>
      <c r="F793" s="4">
        <v>230</v>
      </c>
      <c r="G793" s="5">
        <v>17.600000000000001</v>
      </c>
      <c r="H793" s="4">
        <v>1</v>
      </c>
    </row>
    <row r="794" spans="1:8" x14ac:dyDescent="0.2">
      <c r="A794" s="2" t="s">
        <v>82</v>
      </c>
      <c r="B794" s="4">
        <v>11</v>
      </c>
      <c r="C794" s="5">
        <v>0.39</v>
      </c>
      <c r="D794" s="4">
        <v>2</v>
      </c>
      <c r="E794" s="5">
        <v>0.14000000000000001</v>
      </c>
      <c r="F794" s="4">
        <v>9</v>
      </c>
      <c r="G794" s="5">
        <v>0.69</v>
      </c>
      <c r="H794" s="4">
        <v>0</v>
      </c>
    </row>
    <row r="795" spans="1:8" x14ac:dyDescent="0.2">
      <c r="A795" s="2" t="s">
        <v>83</v>
      </c>
      <c r="B795" s="4">
        <v>388</v>
      </c>
      <c r="C795" s="5">
        <v>13.87</v>
      </c>
      <c r="D795" s="4">
        <v>143</v>
      </c>
      <c r="E795" s="5">
        <v>9.73</v>
      </c>
      <c r="F795" s="4">
        <v>245</v>
      </c>
      <c r="G795" s="5">
        <v>18.75</v>
      </c>
      <c r="H795" s="4">
        <v>0</v>
      </c>
    </row>
    <row r="796" spans="1:8" x14ac:dyDescent="0.2">
      <c r="A796" s="2" t="s">
        <v>84</v>
      </c>
      <c r="B796" s="4">
        <v>81</v>
      </c>
      <c r="C796" s="5">
        <v>2.9</v>
      </c>
      <c r="D796" s="4">
        <v>42</v>
      </c>
      <c r="E796" s="5">
        <v>2.86</v>
      </c>
      <c r="F796" s="4">
        <v>38</v>
      </c>
      <c r="G796" s="5">
        <v>2.91</v>
      </c>
      <c r="H796" s="4">
        <v>0</v>
      </c>
    </row>
    <row r="797" spans="1:8" x14ac:dyDescent="0.2">
      <c r="A797" s="2" t="s">
        <v>85</v>
      </c>
      <c r="B797" s="4">
        <v>297</v>
      </c>
      <c r="C797" s="5">
        <v>10.62</v>
      </c>
      <c r="D797" s="4">
        <v>267</v>
      </c>
      <c r="E797" s="5">
        <v>18.18</v>
      </c>
      <c r="F797" s="4">
        <v>30</v>
      </c>
      <c r="G797" s="5">
        <v>2.2999999999999998</v>
      </c>
      <c r="H797" s="4">
        <v>0</v>
      </c>
    </row>
    <row r="798" spans="1:8" x14ac:dyDescent="0.2">
      <c r="A798" s="2" t="s">
        <v>86</v>
      </c>
      <c r="B798" s="4">
        <v>262</v>
      </c>
      <c r="C798" s="5">
        <v>9.3699999999999992</v>
      </c>
      <c r="D798" s="4">
        <v>228</v>
      </c>
      <c r="E798" s="5">
        <v>15.52</v>
      </c>
      <c r="F798" s="4">
        <v>34</v>
      </c>
      <c r="G798" s="5">
        <v>2.6</v>
      </c>
      <c r="H798" s="4">
        <v>0</v>
      </c>
    </row>
    <row r="799" spans="1:8" x14ac:dyDescent="0.2">
      <c r="A799" s="2" t="s">
        <v>87</v>
      </c>
      <c r="B799" s="4">
        <v>82</v>
      </c>
      <c r="C799" s="5">
        <v>2.93</v>
      </c>
      <c r="D799" s="4">
        <v>54</v>
      </c>
      <c r="E799" s="5">
        <v>3.68</v>
      </c>
      <c r="F799" s="4">
        <v>23</v>
      </c>
      <c r="G799" s="5">
        <v>1.76</v>
      </c>
      <c r="H799" s="4">
        <v>0</v>
      </c>
    </row>
    <row r="800" spans="1:8" x14ac:dyDescent="0.2">
      <c r="A800" s="2" t="s">
        <v>88</v>
      </c>
      <c r="B800" s="4">
        <v>150</v>
      </c>
      <c r="C800" s="5">
        <v>5.36</v>
      </c>
      <c r="D800" s="4">
        <v>85</v>
      </c>
      <c r="E800" s="5">
        <v>5.79</v>
      </c>
      <c r="F800" s="4">
        <v>52</v>
      </c>
      <c r="G800" s="5">
        <v>3.98</v>
      </c>
      <c r="H800" s="4">
        <v>0</v>
      </c>
    </row>
    <row r="801" spans="1:8" x14ac:dyDescent="0.2">
      <c r="A801" s="2" t="s">
        <v>89</v>
      </c>
      <c r="B801" s="4">
        <v>90</v>
      </c>
      <c r="C801" s="5">
        <v>3.22</v>
      </c>
      <c r="D801" s="4">
        <v>50</v>
      </c>
      <c r="E801" s="5">
        <v>3.4</v>
      </c>
      <c r="F801" s="4">
        <v>39</v>
      </c>
      <c r="G801" s="5">
        <v>2.98</v>
      </c>
      <c r="H801" s="4">
        <v>0</v>
      </c>
    </row>
    <row r="802" spans="1:8" x14ac:dyDescent="0.2">
      <c r="A802" s="1" t="s">
        <v>50</v>
      </c>
      <c r="B802" s="4">
        <v>2477</v>
      </c>
      <c r="C802" s="5">
        <v>99.99</v>
      </c>
      <c r="D802" s="4">
        <v>1183</v>
      </c>
      <c r="E802" s="5">
        <v>99.990000000000009</v>
      </c>
      <c r="F802" s="4">
        <v>1290</v>
      </c>
      <c r="G802" s="5">
        <v>99.990000000000009</v>
      </c>
      <c r="H802" s="4">
        <v>1</v>
      </c>
    </row>
    <row r="803" spans="1:8" x14ac:dyDescent="0.2">
      <c r="A803" s="2" t="s">
        <v>75</v>
      </c>
      <c r="B803" s="4">
        <v>0</v>
      </c>
      <c r="C803" s="5">
        <v>0</v>
      </c>
      <c r="D803" s="4">
        <v>0</v>
      </c>
      <c r="E803" s="5">
        <v>0</v>
      </c>
      <c r="F803" s="4">
        <v>0</v>
      </c>
      <c r="G803" s="5">
        <v>0</v>
      </c>
      <c r="H803" s="4">
        <v>0</v>
      </c>
    </row>
    <row r="804" spans="1:8" x14ac:dyDescent="0.2">
      <c r="A804" s="2" t="s">
        <v>76</v>
      </c>
      <c r="B804" s="4">
        <v>307</v>
      </c>
      <c r="C804" s="5">
        <v>12.39</v>
      </c>
      <c r="D804" s="4">
        <v>70</v>
      </c>
      <c r="E804" s="5">
        <v>5.92</v>
      </c>
      <c r="F804" s="4">
        <v>237</v>
      </c>
      <c r="G804" s="5">
        <v>18.37</v>
      </c>
      <c r="H804" s="4">
        <v>0</v>
      </c>
    </row>
    <row r="805" spans="1:8" x14ac:dyDescent="0.2">
      <c r="A805" s="2" t="s">
        <v>77</v>
      </c>
      <c r="B805" s="4">
        <v>462</v>
      </c>
      <c r="C805" s="5">
        <v>18.649999999999999</v>
      </c>
      <c r="D805" s="4">
        <v>131</v>
      </c>
      <c r="E805" s="5">
        <v>11.07</v>
      </c>
      <c r="F805" s="4">
        <v>331</v>
      </c>
      <c r="G805" s="5">
        <v>25.66</v>
      </c>
      <c r="H805" s="4">
        <v>0</v>
      </c>
    </row>
    <row r="806" spans="1:8" x14ac:dyDescent="0.2">
      <c r="A806" s="2" t="s">
        <v>78</v>
      </c>
      <c r="B806" s="4">
        <v>0</v>
      </c>
      <c r="C806" s="5">
        <v>0</v>
      </c>
      <c r="D806" s="4">
        <v>0</v>
      </c>
      <c r="E806" s="5">
        <v>0</v>
      </c>
      <c r="F806" s="4">
        <v>0</v>
      </c>
      <c r="G806" s="5">
        <v>0</v>
      </c>
      <c r="H806" s="4">
        <v>0</v>
      </c>
    </row>
    <row r="807" spans="1:8" x14ac:dyDescent="0.2">
      <c r="A807" s="2" t="s">
        <v>79</v>
      </c>
      <c r="B807" s="4">
        <v>8</v>
      </c>
      <c r="C807" s="5">
        <v>0.32</v>
      </c>
      <c r="D807" s="4">
        <v>1</v>
      </c>
      <c r="E807" s="5">
        <v>0.08</v>
      </c>
      <c r="F807" s="4">
        <v>7</v>
      </c>
      <c r="G807" s="5">
        <v>0.54</v>
      </c>
      <c r="H807" s="4">
        <v>0</v>
      </c>
    </row>
    <row r="808" spans="1:8" x14ac:dyDescent="0.2">
      <c r="A808" s="2" t="s">
        <v>80</v>
      </c>
      <c r="B808" s="4">
        <v>26</v>
      </c>
      <c r="C808" s="5">
        <v>1.05</v>
      </c>
      <c r="D808" s="4">
        <v>3</v>
      </c>
      <c r="E808" s="5">
        <v>0.25</v>
      </c>
      <c r="F808" s="4">
        <v>23</v>
      </c>
      <c r="G808" s="5">
        <v>1.78</v>
      </c>
      <c r="H808" s="4">
        <v>0</v>
      </c>
    </row>
    <row r="809" spans="1:8" x14ac:dyDescent="0.2">
      <c r="A809" s="2" t="s">
        <v>81</v>
      </c>
      <c r="B809" s="4">
        <v>432</v>
      </c>
      <c r="C809" s="5">
        <v>17.440000000000001</v>
      </c>
      <c r="D809" s="4">
        <v>208</v>
      </c>
      <c r="E809" s="5">
        <v>17.579999999999998</v>
      </c>
      <c r="F809" s="4">
        <v>224</v>
      </c>
      <c r="G809" s="5">
        <v>17.36</v>
      </c>
      <c r="H809" s="4">
        <v>0</v>
      </c>
    </row>
    <row r="810" spans="1:8" x14ac:dyDescent="0.2">
      <c r="A810" s="2" t="s">
        <v>82</v>
      </c>
      <c r="B810" s="4">
        <v>9</v>
      </c>
      <c r="C810" s="5">
        <v>0.36</v>
      </c>
      <c r="D810" s="4">
        <v>1</v>
      </c>
      <c r="E810" s="5">
        <v>0.08</v>
      </c>
      <c r="F810" s="4">
        <v>8</v>
      </c>
      <c r="G810" s="5">
        <v>0.62</v>
      </c>
      <c r="H810" s="4">
        <v>0</v>
      </c>
    </row>
    <row r="811" spans="1:8" x14ac:dyDescent="0.2">
      <c r="A811" s="2" t="s">
        <v>83</v>
      </c>
      <c r="B811" s="4">
        <v>478</v>
      </c>
      <c r="C811" s="5">
        <v>19.3</v>
      </c>
      <c r="D811" s="4">
        <v>231</v>
      </c>
      <c r="E811" s="5">
        <v>19.53</v>
      </c>
      <c r="F811" s="4">
        <v>247</v>
      </c>
      <c r="G811" s="5">
        <v>19.149999999999999</v>
      </c>
      <c r="H811" s="4">
        <v>0</v>
      </c>
    </row>
    <row r="812" spans="1:8" x14ac:dyDescent="0.2">
      <c r="A812" s="2" t="s">
        <v>84</v>
      </c>
      <c r="B812" s="4">
        <v>60</v>
      </c>
      <c r="C812" s="5">
        <v>2.42</v>
      </c>
      <c r="D812" s="4">
        <v>26</v>
      </c>
      <c r="E812" s="5">
        <v>2.2000000000000002</v>
      </c>
      <c r="F812" s="4">
        <v>33</v>
      </c>
      <c r="G812" s="5">
        <v>2.56</v>
      </c>
      <c r="H812" s="4">
        <v>0</v>
      </c>
    </row>
    <row r="813" spans="1:8" x14ac:dyDescent="0.2">
      <c r="A813" s="2" t="s">
        <v>85</v>
      </c>
      <c r="B813" s="4">
        <v>244</v>
      </c>
      <c r="C813" s="5">
        <v>9.85</v>
      </c>
      <c r="D813" s="4">
        <v>217</v>
      </c>
      <c r="E813" s="5">
        <v>18.34</v>
      </c>
      <c r="F813" s="4">
        <v>27</v>
      </c>
      <c r="G813" s="5">
        <v>2.09</v>
      </c>
      <c r="H813" s="4">
        <v>0</v>
      </c>
    </row>
    <row r="814" spans="1:8" x14ac:dyDescent="0.2">
      <c r="A814" s="2" t="s">
        <v>86</v>
      </c>
      <c r="B814" s="4">
        <v>230</v>
      </c>
      <c r="C814" s="5">
        <v>9.2899999999999991</v>
      </c>
      <c r="D814" s="4">
        <v>173</v>
      </c>
      <c r="E814" s="5">
        <v>14.62</v>
      </c>
      <c r="F814" s="4">
        <v>56</v>
      </c>
      <c r="G814" s="5">
        <v>4.34</v>
      </c>
      <c r="H814" s="4">
        <v>1</v>
      </c>
    </row>
    <row r="815" spans="1:8" x14ac:dyDescent="0.2">
      <c r="A815" s="2" t="s">
        <v>87</v>
      </c>
      <c r="B815" s="4">
        <v>50</v>
      </c>
      <c r="C815" s="5">
        <v>2.02</v>
      </c>
      <c r="D815" s="4">
        <v>30</v>
      </c>
      <c r="E815" s="5">
        <v>2.54</v>
      </c>
      <c r="F815" s="4">
        <v>20</v>
      </c>
      <c r="G815" s="5">
        <v>1.55</v>
      </c>
      <c r="H815" s="4">
        <v>0</v>
      </c>
    </row>
    <row r="816" spans="1:8" x14ac:dyDescent="0.2">
      <c r="A816" s="2" t="s">
        <v>88</v>
      </c>
      <c r="B816" s="4">
        <v>106</v>
      </c>
      <c r="C816" s="5">
        <v>4.28</v>
      </c>
      <c r="D816" s="4">
        <v>63</v>
      </c>
      <c r="E816" s="5">
        <v>5.33</v>
      </c>
      <c r="F816" s="4">
        <v>41</v>
      </c>
      <c r="G816" s="5">
        <v>3.18</v>
      </c>
      <c r="H816" s="4">
        <v>0</v>
      </c>
    </row>
    <row r="817" spans="1:8" x14ac:dyDescent="0.2">
      <c r="A817" s="2" t="s">
        <v>89</v>
      </c>
      <c r="B817" s="4">
        <v>65</v>
      </c>
      <c r="C817" s="5">
        <v>2.62</v>
      </c>
      <c r="D817" s="4">
        <v>29</v>
      </c>
      <c r="E817" s="5">
        <v>2.4500000000000002</v>
      </c>
      <c r="F817" s="4">
        <v>36</v>
      </c>
      <c r="G817" s="5">
        <v>2.79</v>
      </c>
      <c r="H817" s="4">
        <v>0</v>
      </c>
    </row>
    <row r="818" spans="1:8" x14ac:dyDescent="0.2">
      <c r="A818" s="1" t="s">
        <v>51</v>
      </c>
      <c r="B818" s="4">
        <v>3415</v>
      </c>
      <c r="C818" s="5">
        <v>99.999999999999986</v>
      </c>
      <c r="D818" s="4">
        <v>1924</v>
      </c>
      <c r="E818" s="5">
        <v>100</v>
      </c>
      <c r="F818" s="4">
        <v>1482</v>
      </c>
      <c r="G818" s="5">
        <v>99.989999999999981</v>
      </c>
      <c r="H818" s="4">
        <v>2</v>
      </c>
    </row>
    <row r="819" spans="1:8" x14ac:dyDescent="0.2">
      <c r="A819" s="2" t="s">
        <v>75</v>
      </c>
      <c r="B819" s="4">
        <v>0</v>
      </c>
      <c r="C819" s="5">
        <v>0</v>
      </c>
      <c r="D819" s="4">
        <v>0</v>
      </c>
      <c r="E819" s="5">
        <v>0</v>
      </c>
      <c r="F819" s="4">
        <v>0</v>
      </c>
      <c r="G819" s="5">
        <v>0</v>
      </c>
      <c r="H819" s="4">
        <v>0</v>
      </c>
    </row>
    <row r="820" spans="1:8" x14ac:dyDescent="0.2">
      <c r="A820" s="2" t="s">
        <v>76</v>
      </c>
      <c r="B820" s="4">
        <v>442</v>
      </c>
      <c r="C820" s="5">
        <v>12.94</v>
      </c>
      <c r="D820" s="4">
        <v>119</v>
      </c>
      <c r="E820" s="5">
        <v>6.19</v>
      </c>
      <c r="F820" s="4">
        <v>323</v>
      </c>
      <c r="G820" s="5">
        <v>21.79</v>
      </c>
      <c r="H820" s="4">
        <v>0</v>
      </c>
    </row>
    <row r="821" spans="1:8" x14ac:dyDescent="0.2">
      <c r="A821" s="2" t="s">
        <v>77</v>
      </c>
      <c r="B821" s="4">
        <v>464</v>
      </c>
      <c r="C821" s="5">
        <v>13.59</v>
      </c>
      <c r="D821" s="4">
        <v>235</v>
      </c>
      <c r="E821" s="5">
        <v>12.21</v>
      </c>
      <c r="F821" s="4">
        <v>229</v>
      </c>
      <c r="G821" s="5">
        <v>15.45</v>
      </c>
      <c r="H821" s="4">
        <v>0</v>
      </c>
    </row>
    <row r="822" spans="1:8" x14ac:dyDescent="0.2">
      <c r="A822" s="2" t="s">
        <v>78</v>
      </c>
      <c r="B822" s="4">
        <v>1</v>
      </c>
      <c r="C822" s="5">
        <v>0.03</v>
      </c>
      <c r="D822" s="4">
        <v>0</v>
      </c>
      <c r="E822" s="5">
        <v>0</v>
      </c>
      <c r="F822" s="4">
        <v>1</v>
      </c>
      <c r="G822" s="5">
        <v>7.0000000000000007E-2</v>
      </c>
      <c r="H822" s="4">
        <v>0</v>
      </c>
    </row>
    <row r="823" spans="1:8" x14ac:dyDescent="0.2">
      <c r="A823" s="2" t="s">
        <v>79</v>
      </c>
      <c r="B823" s="4">
        <v>16</v>
      </c>
      <c r="C823" s="5">
        <v>0.47</v>
      </c>
      <c r="D823" s="4">
        <v>1</v>
      </c>
      <c r="E823" s="5">
        <v>0.05</v>
      </c>
      <c r="F823" s="4">
        <v>15</v>
      </c>
      <c r="G823" s="5">
        <v>1.01</v>
      </c>
      <c r="H823" s="4">
        <v>0</v>
      </c>
    </row>
    <row r="824" spans="1:8" x14ac:dyDescent="0.2">
      <c r="A824" s="2" t="s">
        <v>80</v>
      </c>
      <c r="B824" s="4">
        <v>41</v>
      </c>
      <c r="C824" s="5">
        <v>1.2</v>
      </c>
      <c r="D824" s="4">
        <v>8</v>
      </c>
      <c r="E824" s="5">
        <v>0.42</v>
      </c>
      <c r="F824" s="4">
        <v>33</v>
      </c>
      <c r="G824" s="5">
        <v>2.23</v>
      </c>
      <c r="H824" s="4">
        <v>0</v>
      </c>
    </row>
    <row r="825" spans="1:8" x14ac:dyDescent="0.2">
      <c r="A825" s="2" t="s">
        <v>81</v>
      </c>
      <c r="B825" s="4">
        <v>730</v>
      </c>
      <c r="C825" s="5">
        <v>21.38</v>
      </c>
      <c r="D825" s="4">
        <v>375</v>
      </c>
      <c r="E825" s="5">
        <v>19.489999999999998</v>
      </c>
      <c r="F825" s="4">
        <v>354</v>
      </c>
      <c r="G825" s="5">
        <v>23.89</v>
      </c>
      <c r="H825" s="4">
        <v>1</v>
      </c>
    </row>
    <row r="826" spans="1:8" x14ac:dyDescent="0.2">
      <c r="A826" s="2" t="s">
        <v>82</v>
      </c>
      <c r="B826" s="4">
        <v>15</v>
      </c>
      <c r="C826" s="5">
        <v>0.44</v>
      </c>
      <c r="D826" s="4">
        <v>5</v>
      </c>
      <c r="E826" s="5">
        <v>0.26</v>
      </c>
      <c r="F826" s="4">
        <v>10</v>
      </c>
      <c r="G826" s="5">
        <v>0.67</v>
      </c>
      <c r="H826" s="4">
        <v>0</v>
      </c>
    </row>
    <row r="827" spans="1:8" x14ac:dyDescent="0.2">
      <c r="A827" s="2" t="s">
        <v>83</v>
      </c>
      <c r="B827" s="4">
        <v>371</v>
      </c>
      <c r="C827" s="5">
        <v>10.86</v>
      </c>
      <c r="D827" s="4">
        <v>152</v>
      </c>
      <c r="E827" s="5">
        <v>7.9</v>
      </c>
      <c r="F827" s="4">
        <v>218</v>
      </c>
      <c r="G827" s="5">
        <v>14.71</v>
      </c>
      <c r="H827" s="4">
        <v>0</v>
      </c>
    </row>
    <row r="828" spans="1:8" x14ac:dyDescent="0.2">
      <c r="A828" s="2" t="s">
        <v>84</v>
      </c>
      <c r="B828" s="4">
        <v>118</v>
      </c>
      <c r="C828" s="5">
        <v>3.46</v>
      </c>
      <c r="D828" s="4">
        <v>68</v>
      </c>
      <c r="E828" s="5">
        <v>3.53</v>
      </c>
      <c r="F828" s="4">
        <v>50</v>
      </c>
      <c r="G828" s="5">
        <v>3.37</v>
      </c>
      <c r="H828" s="4">
        <v>0</v>
      </c>
    </row>
    <row r="829" spans="1:8" x14ac:dyDescent="0.2">
      <c r="A829" s="2" t="s">
        <v>85</v>
      </c>
      <c r="B829" s="4">
        <v>370</v>
      </c>
      <c r="C829" s="5">
        <v>10.83</v>
      </c>
      <c r="D829" s="4">
        <v>342</v>
      </c>
      <c r="E829" s="5">
        <v>17.78</v>
      </c>
      <c r="F829" s="4">
        <v>28</v>
      </c>
      <c r="G829" s="5">
        <v>1.89</v>
      </c>
      <c r="H829" s="4">
        <v>0</v>
      </c>
    </row>
    <row r="830" spans="1:8" x14ac:dyDescent="0.2">
      <c r="A830" s="2" t="s">
        <v>86</v>
      </c>
      <c r="B830" s="4">
        <v>386</v>
      </c>
      <c r="C830" s="5">
        <v>11.3</v>
      </c>
      <c r="D830" s="4">
        <v>319</v>
      </c>
      <c r="E830" s="5">
        <v>16.579999999999998</v>
      </c>
      <c r="F830" s="4">
        <v>67</v>
      </c>
      <c r="G830" s="5">
        <v>4.5199999999999996</v>
      </c>
      <c r="H830" s="4">
        <v>0</v>
      </c>
    </row>
    <row r="831" spans="1:8" x14ac:dyDescent="0.2">
      <c r="A831" s="2" t="s">
        <v>87</v>
      </c>
      <c r="B831" s="4">
        <v>147</v>
      </c>
      <c r="C831" s="5">
        <v>4.3</v>
      </c>
      <c r="D831" s="4">
        <v>108</v>
      </c>
      <c r="E831" s="5">
        <v>5.61</v>
      </c>
      <c r="F831" s="4">
        <v>35</v>
      </c>
      <c r="G831" s="5">
        <v>2.36</v>
      </c>
      <c r="H831" s="4">
        <v>1</v>
      </c>
    </row>
    <row r="832" spans="1:8" x14ac:dyDescent="0.2">
      <c r="A832" s="2" t="s">
        <v>88</v>
      </c>
      <c r="B832" s="4">
        <v>183</v>
      </c>
      <c r="C832" s="5">
        <v>5.36</v>
      </c>
      <c r="D832" s="4">
        <v>123</v>
      </c>
      <c r="E832" s="5">
        <v>6.39</v>
      </c>
      <c r="F832" s="4">
        <v>57</v>
      </c>
      <c r="G832" s="5">
        <v>3.85</v>
      </c>
      <c r="H832" s="4">
        <v>0</v>
      </c>
    </row>
    <row r="833" spans="1:8" x14ac:dyDescent="0.2">
      <c r="A833" s="2" t="s">
        <v>89</v>
      </c>
      <c r="B833" s="4">
        <v>131</v>
      </c>
      <c r="C833" s="5">
        <v>3.84</v>
      </c>
      <c r="D833" s="4">
        <v>69</v>
      </c>
      <c r="E833" s="5">
        <v>3.59</v>
      </c>
      <c r="F833" s="4">
        <v>62</v>
      </c>
      <c r="G833" s="5">
        <v>4.18</v>
      </c>
      <c r="H833" s="4">
        <v>0</v>
      </c>
    </row>
    <row r="834" spans="1:8" x14ac:dyDescent="0.2">
      <c r="A834" s="1" t="s">
        <v>52</v>
      </c>
      <c r="B834" s="4">
        <v>2295</v>
      </c>
      <c r="C834" s="5">
        <v>99.999999999999986</v>
      </c>
      <c r="D834" s="4">
        <v>881</v>
      </c>
      <c r="E834" s="5">
        <v>100.00000000000001</v>
      </c>
      <c r="F834" s="4">
        <v>1409</v>
      </c>
      <c r="G834" s="5">
        <v>100.01</v>
      </c>
      <c r="H834" s="4">
        <v>3</v>
      </c>
    </row>
    <row r="835" spans="1:8" x14ac:dyDescent="0.2">
      <c r="A835" s="2" t="s">
        <v>75</v>
      </c>
      <c r="B835" s="4">
        <v>0</v>
      </c>
      <c r="C835" s="5">
        <v>0</v>
      </c>
      <c r="D835" s="4">
        <v>0</v>
      </c>
      <c r="E835" s="5">
        <v>0</v>
      </c>
      <c r="F835" s="4">
        <v>0</v>
      </c>
      <c r="G835" s="5">
        <v>0</v>
      </c>
      <c r="H835" s="4">
        <v>0</v>
      </c>
    </row>
    <row r="836" spans="1:8" x14ac:dyDescent="0.2">
      <c r="A836" s="2" t="s">
        <v>76</v>
      </c>
      <c r="B836" s="4">
        <v>275</v>
      </c>
      <c r="C836" s="5">
        <v>11.98</v>
      </c>
      <c r="D836" s="4">
        <v>50</v>
      </c>
      <c r="E836" s="5">
        <v>5.68</v>
      </c>
      <c r="F836" s="4">
        <v>225</v>
      </c>
      <c r="G836" s="5">
        <v>15.97</v>
      </c>
      <c r="H836" s="4">
        <v>0</v>
      </c>
    </row>
    <row r="837" spans="1:8" x14ac:dyDescent="0.2">
      <c r="A837" s="2" t="s">
        <v>77</v>
      </c>
      <c r="B837" s="4">
        <v>91</v>
      </c>
      <c r="C837" s="5">
        <v>3.97</v>
      </c>
      <c r="D837" s="4">
        <v>19</v>
      </c>
      <c r="E837" s="5">
        <v>2.16</v>
      </c>
      <c r="F837" s="4">
        <v>72</v>
      </c>
      <c r="G837" s="5">
        <v>5.1100000000000003</v>
      </c>
      <c r="H837" s="4">
        <v>0</v>
      </c>
    </row>
    <row r="838" spans="1:8" x14ac:dyDescent="0.2">
      <c r="A838" s="2" t="s">
        <v>78</v>
      </c>
      <c r="B838" s="4">
        <v>3</v>
      </c>
      <c r="C838" s="5">
        <v>0.13</v>
      </c>
      <c r="D838" s="4">
        <v>0</v>
      </c>
      <c r="E838" s="5">
        <v>0</v>
      </c>
      <c r="F838" s="4">
        <v>3</v>
      </c>
      <c r="G838" s="5">
        <v>0.21</v>
      </c>
      <c r="H838" s="4">
        <v>0</v>
      </c>
    </row>
    <row r="839" spans="1:8" x14ac:dyDescent="0.2">
      <c r="A839" s="2" t="s">
        <v>79</v>
      </c>
      <c r="B839" s="4">
        <v>40</v>
      </c>
      <c r="C839" s="5">
        <v>1.74</v>
      </c>
      <c r="D839" s="4">
        <v>3</v>
      </c>
      <c r="E839" s="5">
        <v>0.34</v>
      </c>
      <c r="F839" s="4">
        <v>37</v>
      </c>
      <c r="G839" s="5">
        <v>2.63</v>
      </c>
      <c r="H839" s="4">
        <v>0</v>
      </c>
    </row>
    <row r="840" spans="1:8" x14ac:dyDescent="0.2">
      <c r="A840" s="2" t="s">
        <v>80</v>
      </c>
      <c r="B840" s="4">
        <v>20</v>
      </c>
      <c r="C840" s="5">
        <v>0.87</v>
      </c>
      <c r="D840" s="4">
        <v>1</v>
      </c>
      <c r="E840" s="5">
        <v>0.11</v>
      </c>
      <c r="F840" s="4">
        <v>19</v>
      </c>
      <c r="G840" s="5">
        <v>1.35</v>
      </c>
      <c r="H840" s="4">
        <v>0</v>
      </c>
    </row>
    <row r="841" spans="1:8" x14ac:dyDescent="0.2">
      <c r="A841" s="2" t="s">
        <v>81</v>
      </c>
      <c r="B841" s="4">
        <v>531</v>
      </c>
      <c r="C841" s="5">
        <v>23.14</v>
      </c>
      <c r="D841" s="4">
        <v>198</v>
      </c>
      <c r="E841" s="5">
        <v>22.47</v>
      </c>
      <c r="F841" s="4">
        <v>333</v>
      </c>
      <c r="G841" s="5">
        <v>23.63</v>
      </c>
      <c r="H841" s="4">
        <v>0</v>
      </c>
    </row>
    <row r="842" spans="1:8" x14ac:dyDescent="0.2">
      <c r="A842" s="2" t="s">
        <v>82</v>
      </c>
      <c r="B842" s="4">
        <v>9</v>
      </c>
      <c r="C842" s="5">
        <v>0.39</v>
      </c>
      <c r="D842" s="4">
        <v>0</v>
      </c>
      <c r="E842" s="5">
        <v>0</v>
      </c>
      <c r="F842" s="4">
        <v>9</v>
      </c>
      <c r="G842" s="5">
        <v>0.64</v>
      </c>
      <c r="H842" s="4">
        <v>0</v>
      </c>
    </row>
    <row r="843" spans="1:8" x14ac:dyDescent="0.2">
      <c r="A843" s="2" t="s">
        <v>83</v>
      </c>
      <c r="B843" s="4">
        <v>491</v>
      </c>
      <c r="C843" s="5">
        <v>21.39</v>
      </c>
      <c r="D843" s="4">
        <v>91</v>
      </c>
      <c r="E843" s="5">
        <v>10.33</v>
      </c>
      <c r="F843" s="4">
        <v>398</v>
      </c>
      <c r="G843" s="5">
        <v>28.25</v>
      </c>
      <c r="H843" s="4">
        <v>2</v>
      </c>
    </row>
    <row r="844" spans="1:8" x14ac:dyDescent="0.2">
      <c r="A844" s="2" t="s">
        <v>84</v>
      </c>
      <c r="B844" s="4">
        <v>126</v>
      </c>
      <c r="C844" s="5">
        <v>5.49</v>
      </c>
      <c r="D844" s="4">
        <v>43</v>
      </c>
      <c r="E844" s="5">
        <v>4.88</v>
      </c>
      <c r="F844" s="4">
        <v>83</v>
      </c>
      <c r="G844" s="5">
        <v>5.89</v>
      </c>
      <c r="H844" s="4">
        <v>0</v>
      </c>
    </row>
    <row r="845" spans="1:8" x14ac:dyDescent="0.2">
      <c r="A845" s="2" t="s">
        <v>85</v>
      </c>
      <c r="B845" s="4">
        <v>202</v>
      </c>
      <c r="C845" s="5">
        <v>8.8000000000000007</v>
      </c>
      <c r="D845" s="4">
        <v>153</v>
      </c>
      <c r="E845" s="5">
        <v>17.37</v>
      </c>
      <c r="F845" s="4">
        <v>49</v>
      </c>
      <c r="G845" s="5">
        <v>3.48</v>
      </c>
      <c r="H845" s="4">
        <v>0</v>
      </c>
    </row>
    <row r="846" spans="1:8" x14ac:dyDescent="0.2">
      <c r="A846" s="2" t="s">
        <v>86</v>
      </c>
      <c r="B846" s="4">
        <v>236</v>
      </c>
      <c r="C846" s="5">
        <v>10.28</v>
      </c>
      <c r="D846" s="4">
        <v>176</v>
      </c>
      <c r="E846" s="5">
        <v>19.98</v>
      </c>
      <c r="F846" s="4">
        <v>59</v>
      </c>
      <c r="G846" s="5">
        <v>4.1900000000000004</v>
      </c>
      <c r="H846" s="4">
        <v>1</v>
      </c>
    </row>
    <row r="847" spans="1:8" x14ac:dyDescent="0.2">
      <c r="A847" s="2" t="s">
        <v>87</v>
      </c>
      <c r="B847" s="4">
        <v>75</v>
      </c>
      <c r="C847" s="5">
        <v>3.27</v>
      </c>
      <c r="D847" s="4">
        <v>52</v>
      </c>
      <c r="E847" s="5">
        <v>5.9</v>
      </c>
      <c r="F847" s="4">
        <v>21</v>
      </c>
      <c r="G847" s="5">
        <v>1.49</v>
      </c>
      <c r="H847" s="4">
        <v>0</v>
      </c>
    </row>
    <row r="848" spans="1:8" x14ac:dyDescent="0.2">
      <c r="A848" s="2" t="s">
        <v>88</v>
      </c>
      <c r="B848" s="4">
        <v>133</v>
      </c>
      <c r="C848" s="5">
        <v>5.8</v>
      </c>
      <c r="D848" s="4">
        <v>86</v>
      </c>
      <c r="E848" s="5">
        <v>9.76</v>
      </c>
      <c r="F848" s="4">
        <v>47</v>
      </c>
      <c r="G848" s="5">
        <v>3.34</v>
      </c>
      <c r="H848" s="4">
        <v>0</v>
      </c>
    </row>
    <row r="849" spans="1:8" x14ac:dyDescent="0.2">
      <c r="A849" s="2" t="s">
        <v>89</v>
      </c>
      <c r="B849" s="4">
        <v>63</v>
      </c>
      <c r="C849" s="5">
        <v>2.75</v>
      </c>
      <c r="D849" s="4">
        <v>9</v>
      </c>
      <c r="E849" s="5">
        <v>1.02</v>
      </c>
      <c r="F849" s="4">
        <v>54</v>
      </c>
      <c r="G849" s="5">
        <v>3.83</v>
      </c>
      <c r="H849" s="4">
        <v>0</v>
      </c>
    </row>
    <row r="850" spans="1:8" x14ac:dyDescent="0.2">
      <c r="A850" s="1" t="s">
        <v>53</v>
      </c>
      <c r="B850" s="4">
        <v>1367</v>
      </c>
      <c r="C850" s="5">
        <v>100</v>
      </c>
      <c r="D850" s="4">
        <v>711</v>
      </c>
      <c r="E850" s="5">
        <v>99.990000000000009</v>
      </c>
      <c r="F850" s="4">
        <v>646</v>
      </c>
      <c r="G850" s="5">
        <v>100.01000000000002</v>
      </c>
      <c r="H850" s="4">
        <v>2</v>
      </c>
    </row>
    <row r="851" spans="1:8" x14ac:dyDescent="0.2">
      <c r="A851" s="2" t="s">
        <v>75</v>
      </c>
      <c r="B851" s="4">
        <v>0</v>
      </c>
      <c r="C851" s="5">
        <v>0</v>
      </c>
      <c r="D851" s="4">
        <v>0</v>
      </c>
      <c r="E851" s="5">
        <v>0</v>
      </c>
      <c r="F851" s="4">
        <v>0</v>
      </c>
      <c r="G851" s="5">
        <v>0</v>
      </c>
      <c r="H851" s="4">
        <v>0</v>
      </c>
    </row>
    <row r="852" spans="1:8" x14ac:dyDescent="0.2">
      <c r="A852" s="2" t="s">
        <v>76</v>
      </c>
      <c r="B852" s="4">
        <v>167</v>
      </c>
      <c r="C852" s="5">
        <v>12.22</v>
      </c>
      <c r="D852" s="4">
        <v>43</v>
      </c>
      <c r="E852" s="5">
        <v>6.05</v>
      </c>
      <c r="F852" s="4">
        <v>124</v>
      </c>
      <c r="G852" s="5">
        <v>19.2</v>
      </c>
      <c r="H852" s="4">
        <v>0</v>
      </c>
    </row>
    <row r="853" spans="1:8" x14ac:dyDescent="0.2">
      <c r="A853" s="2" t="s">
        <v>77</v>
      </c>
      <c r="B853" s="4">
        <v>205</v>
      </c>
      <c r="C853" s="5">
        <v>15</v>
      </c>
      <c r="D853" s="4">
        <v>67</v>
      </c>
      <c r="E853" s="5">
        <v>9.42</v>
      </c>
      <c r="F853" s="4">
        <v>138</v>
      </c>
      <c r="G853" s="5">
        <v>21.36</v>
      </c>
      <c r="H853" s="4">
        <v>0</v>
      </c>
    </row>
    <row r="854" spans="1:8" x14ac:dyDescent="0.2">
      <c r="A854" s="2" t="s">
        <v>78</v>
      </c>
      <c r="B854" s="4">
        <v>1</v>
      </c>
      <c r="C854" s="5">
        <v>7.0000000000000007E-2</v>
      </c>
      <c r="D854" s="4">
        <v>0</v>
      </c>
      <c r="E854" s="5">
        <v>0</v>
      </c>
      <c r="F854" s="4">
        <v>0</v>
      </c>
      <c r="G854" s="5">
        <v>0</v>
      </c>
      <c r="H854" s="4">
        <v>0</v>
      </c>
    </row>
    <row r="855" spans="1:8" x14ac:dyDescent="0.2">
      <c r="A855" s="2" t="s">
        <v>79</v>
      </c>
      <c r="B855" s="4">
        <v>2</v>
      </c>
      <c r="C855" s="5">
        <v>0.15</v>
      </c>
      <c r="D855" s="4">
        <v>0</v>
      </c>
      <c r="E855" s="5">
        <v>0</v>
      </c>
      <c r="F855" s="4">
        <v>2</v>
      </c>
      <c r="G855" s="5">
        <v>0.31</v>
      </c>
      <c r="H855" s="4">
        <v>0</v>
      </c>
    </row>
    <row r="856" spans="1:8" x14ac:dyDescent="0.2">
      <c r="A856" s="2" t="s">
        <v>80</v>
      </c>
      <c r="B856" s="4">
        <v>11</v>
      </c>
      <c r="C856" s="5">
        <v>0.8</v>
      </c>
      <c r="D856" s="4">
        <v>3</v>
      </c>
      <c r="E856" s="5">
        <v>0.42</v>
      </c>
      <c r="F856" s="4">
        <v>8</v>
      </c>
      <c r="G856" s="5">
        <v>1.24</v>
      </c>
      <c r="H856" s="4">
        <v>0</v>
      </c>
    </row>
    <row r="857" spans="1:8" x14ac:dyDescent="0.2">
      <c r="A857" s="2" t="s">
        <v>81</v>
      </c>
      <c r="B857" s="4">
        <v>282</v>
      </c>
      <c r="C857" s="5">
        <v>20.63</v>
      </c>
      <c r="D857" s="4">
        <v>179</v>
      </c>
      <c r="E857" s="5">
        <v>25.18</v>
      </c>
      <c r="F857" s="4">
        <v>102</v>
      </c>
      <c r="G857" s="5">
        <v>15.79</v>
      </c>
      <c r="H857" s="4">
        <v>1</v>
      </c>
    </row>
    <row r="858" spans="1:8" x14ac:dyDescent="0.2">
      <c r="A858" s="2" t="s">
        <v>82</v>
      </c>
      <c r="B858" s="4">
        <v>5</v>
      </c>
      <c r="C858" s="5">
        <v>0.37</v>
      </c>
      <c r="D858" s="4">
        <v>0</v>
      </c>
      <c r="E858" s="5">
        <v>0</v>
      </c>
      <c r="F858" s="4">
        <v>5</v>
      </c>
      <c r="G858" s="5">
        <v>0.77</v>
      </c>
      <c r="H858" s="4">
        <v>0</v>
      </c>
    </row>
    <row r="859" spans="1:8" x14ac:dyDescent="0.2">
      <c r="A859" s="2" t="s">
        <v>83</v>
      </c>
      <c r="B859" s="4">
        <v>177</v>
      </c>
      <c r="C859" s="5">
        <v>12.95</v>
      </c>
      <c r="D859" s="4">
        <v>65</v>
      </c>
      <c r="E859" s="5">
        <v>9.14</v>
      </c>
      <c r="F859" s="4">
        <v>111</v>
      </c>
      <c r="G859" s="5">
        <v>17.18</v>
      </c>
      <c r="H859" s="4">
        <v>1</v>
      </c>
    </row>
    <row r="860" spans="1:8" x14ac:dyDescent="0.2">
      <c r="A860" s="2" t="s">
        <v>84</v>
      </c>
      <c r="B860" s="4">
        <v>33</v>
      </c>
      <c r="C860" s="5">
        <v>2.41</v>
      </c>
      <c r="D860" s="4">
        <v>19</v>
      </c>
      <c r="E860" s="5">
        <v>2.67</v>
      </c>
      <c r="F860" s="4">
        <v>14</v>
      </c>
      <c r="G860" s="5">
        <v>2.17</v>
      </c>
      <c r="H860" s="4">
        <v>0</v>
      </c>
    </row>
    <row r="861" spans="1:8" x14ac:dyDescent="0.2">
      <c r="A861" s="2" t="s">
        <v>85</v>
      </c>
      <c r="B861" s="4">
        <v>131</v>
      </c>
      <c r="C861" s="5">
        <v>9.58</v>
      </c>
      <c r="D861" s="4">
        <v>107</v>
      </c>
      <c r="E861" s="5">
        <v>15.05</v>
      </c>
      <c r="F861" s="4">
        <v>24</v>
      </c>
      <c r="G861" s="5">
        <v>3.72</v>
      </c>
      <c r="H861" s="4">
        <v>0</v>
      </c>
    </row>
    <row r="862" spans="1:8" x14ac:dyDescent="0.2">
      <c r="A862" s="2" t="s">
        <v>86</v>
      </c>
      <c r="B862" s="4">
        <v>176</v>
      </c>
      <c r="C862" s="5">
        <v>12.87</v>
      </c>
      <c r="D862" s="4">
        <v>124</v>
      </c>
      <c r="E862" s="5">
        <v>17.440000000000001</v>
      </c>
      <c r="F862" s="4">
        <v>50</v>
      </c>
      <c r="G862" s="5">
        <v>7.74</v>
      </c>
      <c r="H862" s="4">
        <v>0</v>
      </c>
    </row>
    <row r="863" spans="1:8" x14ac:dyDescent="0.2">
      <c r="A863" s="2" t="s">
        <v>87</v>
      </c>
      <c r="B863" s="4">
        <v>44</v>
      </c>
      <c r="C863" s="5">
        <v>3.22</v>
      </c>
      <c r="D863" s="4">
        <v>37</v>
      </c>
      <c r="E863" s="5">
        <v>5.2</v>
      </c>
      <c r="F863" s="4">
        <v>6</v>
      </c>
      <c r="G863" s="5">
        <v>0.93</v>
      </c>
      <c r="H863" s="4">
        <v>0</v>
      </c>
    </row>
    <row r="864" spans="1:8" x14ac:dyDescent="0.2">
      <c r="A864" s="2" t="s">
        <v>88</v>
      </c>
      <c r="B864" s="4">
        <v>92</v>
      </c>
      <c r="C864" s="5">
        <v>6.73</v>
      </c>
      <c r="D864" s="4">
        <v>45</v>
      </c>
      <c r="E864" s="5">
        <v>6.33</v>
      </c>
      <c r="F864" s="4">
        <v>44</v>
      </c>
      <c r="G864" s="5">
        <v>6.81</v>
      </c>
      <c r="H864" s="4">
        <v>0</v>
      </c>
    </row>
    <row r="865" spans="1:8" x14ac:dyDescent="0.2">
      <c r="A865" s="2" t="s">
        <v>89</v>
      </c>
      <c r="B865" s="4">
        <v>41</v>
      </c>
      <c r="C865" s="5">
        <v>3</v>
      </c>
      <c r="D865" s="4">
        <v>22</v>
      </c>
      <c r="E865" s="5">
        <v>3.09</v>
      </c>
      <c r="F865" s="4">
        <v>18</v>
      </c>
      <c r="G865" s="5">
        <v>2.79</v>
      </c>
      <c r="H865" s="4">
        <v>0</v>
      </c>
    </row>
    <row r="866" spans="1:8" x14ac:dyDescent="0.2">
      <c r="A866" s="1" t="s">
        <v>54</v>
      </c>
      <c r="B866" s="4">
        <v>2187</v>
      </c>
      <c r="C866" s="5">
        <v>100.01000000000002</v>
      </c>
      <c r="D866" s="4">
        <v>1119</v>
      </c>
      <c r="E866" s="5">
        <v>99.980000000000018</v>
      </c>
      <c r="F866" s="4">
        <v>1045</v>
      </c>
      <c r="G866" s="5">
        <v>100</v>
      </c>
      <c r="H866" s="4">
        <v>1</v>
      </c>
    </row>
    <row r="867" spans="1:8" x14ac:dyDescent="0.2">
      <c r="A867" s="2" t="s">
        <v>75</v>
      </c>
      <c r="B867" s="4">
        <v>0</v>
      </c>
      <c r="C867" s="5">
        <v>0</v>
      </c>
      <c r="D867" s="4">
        <v>0</v>
      </c>
      <c r="E867" s="5">
        <v>0</v>
      </c>
      <c r="F867" s="4">
        <v>0</v>
      </c>
      <c r="G867" s="5">
        <v>0</v>
      </c>
      <c r="H867" s="4">
        <v>0</v>
      </c>
    </row>
    <row r="868" spans="1:8" x14ac:dyDescent="0.2">
      <c r="A868" s="2" t="s">
        <v>76</v>
      </c>
      <c r="B868" s="4">
        <v>322</v>
      </c>
      <c r="C868" s="5">
        <v>14.72</v>
      </c>
      <c r="D868" s="4">
        <v>89</v>
      </c>
      <c r="E868" s="5">
        <v>7.95</v>
      </c>
      <c r="F868" s="4">
        <v>233</v>
      </c>
      <c r="G868" s="5">
        <v>22.3</v>
      </c>
      <c r="H868" s="4">
        <v>0</v>
      </c>
    </row>
    <row r="869" spans="1:8" x14ac:dyDescent="0.2">
      <c r="A869" s="2" t="s">
        <v>77</v>
      </c>
      <c r="B869" s="4">
        <v>306</v>
      </c>
      <c r="C869" s="5">
        <v>13.99</v>
      </c>
      <c r="D869" s="4">
        <v>108</v>
      </c>
      <c r="E869" s="5">
        <v>9.65</v>
      </c>
      <c r="F869" s="4">
        <v>198</v>
      </c>
      <c r="G869" s="5">
        <v>18.95</v>
      </c>
      <c r="H869" s="4">
        <v>0</v>
      </c>
    </row>
    <row r="870" spans="1:8" x14ac:dyDescent="0.2">
      <c r="A870" s="2" t="s">
        <v>78</v>
      </c>
      <c r="B870" s="4">
        <v>4</v>
      </c>
      <c r="C870" s="5">
        <v>0.18</v>
      </c>
      <c r="D870" s="4">
        <v>0</v>
      </c>
      <c r="E870" s="5">
        <v>0</v>
      </c>
      <c r="F870" s="4">
        <v>4</v>
      </c>
      <c r="G870" s="5">
        <v>0.38</v>
      </c>
      <c r="H870" s="4">
        <v>0</v>
      </c>
    </row>
    <row r="871" spans="1:8" x14ac:dyDescent="0.2">
      <c r="A871" s="2" t="s">
        <v>79</v>
      </c>
      <c r="B871" s="4">
        <v>15</v>
      </c>
      <c r="C871" s="5">
        <v>0.69</v>
      </c>
      <c r="D871" s="4">
        <v>2</v>
      </c>
      <c r="E871" s="5">
        <v>0.18</v>
      </c>
      <c r="F871" s="4">
        <v>13</v>
      </c>
      <c r="G871" s="5">
        <v>1.24</v>
      </c>
      <c r="H871" s="4">
        <v>0</v>
      </c>
    </row>
    <row r="872" spans="1:8" x14ac:dyDescent="0.2">
      <c r="A872" s="2" t="s">
        <v>80</v>
      </c>
      <c r="B872" s="4">
        <v>21</v>
      </c>
      <c r="C872" s="5">
        <v>0.96</v>
      </c>
      <c r="D872" s="4">
        <v>9</v>
      </c>
      <c r="E872" s="5">
        <v>0.8</v>
      </c>
      <c r="F872" s="4">
        <v>12</v>
      </c>
      <c r="G872" s="5">
        <v>1.1499999999999999</v>
      </c>
      <c r="H872" s="4">
        <v>0</v>
      </c>
    </row>
    <row r="873" spans="1:8" x14ac:dyDescent="0.2">
      <c r="A873" s="2" t="s">
        <v>81</v>
      </c>
      <c r="B873" s="4">
        <v>436</v>
      </c>
      <c r="C873" s="5">
        <v>19.940000000000001</v>
      </c>
      <c r="D873" s="4">
        <v>239</v>
      </c>
      <c r="E873" s="5">
        <v>21.36</v>
      </c>
      <c r="F873" s="4">
        <v>197</v>
      </c>
      <c r="G873" s="5">
        <v>18.850000000000001</v>
      </c>
      <c r="H873" s="4">
        <v>0</v>
      </c>
    </row>
    <row r="874" spans="1:8" x14ac:dyDescent="0.2">
      <c r="A874" s="2" t="s">
        <v>82</v>
      </c>
      <c r="B874" s="4">
        <v>6</v>
      </c>
      <c r="C874" s="5">
        <v>0.27</v>
      </c>
      <c r="D874" s="4">
        <v>1</v>
      </c>
      <c r="E874" s="5">
        <v>0.09</v>
      </c>
      <c r="F874" s="4">
        <v>5</v>
      </c>
      <c r="G874" s="5">
        <v>0.48</v>
      </c>
      <c r="H874" s="4">
        <v>0</v>
      </c>
    </row>
    <row r="875" spans="1:8" x14ac:dyDescent="0.2">
      <c r="A875" s="2" t="s">
        <v>83</v>
      </c>
      <c r="B875" s="4">
        <v>309</v>
      </c>
      <c r="C875" s="5">
        <v>14.13</v>
      </c>
      <c r="D875" s="4">
        <v>119</v>
      </c>
      <c r="E875" s="5">
        <v>10.63</v>
      </c>
      <c r="F875" s="4">
        <v>190</v>
      </c>
      <c r="G875" s="5">
        <v>18.18</v>
      </c>
      <c r="H875" s="4">
        <v>0</v>
      </c>
    </row>
    <row r="876" spans="1:8" x14ac:dyDescent="0.2">
      <c r="A876" s="2" t="s">
        <v>84</v>
      </c>
      <c r="B876" s="4">
        <v>90</v>
      </c>
      <c r="C876" s="5">
        <v>4.12</v>
      </c>
      <c r="D876" s="4">
        <v>42</v>
      </c>
      <c r="E876" s="5">
        <v>3.75</v>
      </c>
      <c r="F876" s="4">
        <v>48</v>
      </c>
      <c r="G876" s="5">
        <v>4.59</v>
      </c>
      <c r="H876" s="4">
        <v>0</v>
      </c>
    </row>
    <row r="877" spans="1:8" x14ac:dyDescent="0.2">
      <c r="A877" s="2" t="s">
        <v>85</v>
      </c>
      <c r="B877" s="4">
        <v>181</v>
      </c>
      <c r="C877" s="5">
        <v>8.2799999999999994</v>
      </c>
      <c r="D877" s="4">
        <v>161</v>
      </c>
      <c r="E877" s="5">
        <v>14.39</v>
      </c>
      <c r="F877" s="4">
        <v>19</v>
      </c>
      <c r="G877" s="5">
        <v>1.82</v>
      </c>
      <c r="H877" s="4">
        <v>0</v>
      </c>
    </row>
    <row r="878" spans="1:8" x14ac:dyDescent="0.2">
      <c r="A878" s="2" t="s">
        <v>86</v>
      </c>
      <c r="B878" s="4">
        <v>207</v>
      </c>
      <c r="C878" s="5">
        <v>9.4700000000000006</v>
      </c>
      <c r="D878" s="4">
        <v>172</v>
      </c>
      <c r="E878" s="5">
        <v>15.37</v>
      </c>
      <c r="F878" s="4">
        <v>34</v>
      </c>
      <c r="G878" s="5">
        <v>3.25</v>
      </c>
      <c r="H878" s="4">
        <v>0</v>
      </c>
    </row>
    <row r="879" spans="1:8" x14ac:dyDescent="0.2">
      <c r="A879" s="2" t="s">
        <v>87</v>
      </c>
      <c r="B879" s="4">
        <v>85</v>
      </c>
      <c r="C879" s="5">
        <v>3.89</v>
      </c>
      <c r="D879" s="4">
        <v>71</v>
      </c>
      <c r="E879" s="5">
        <v>6.34</v>
      </c>
      <c r="F879" s="4">
        <v>12</v>
      </c>
      <c r="G879" s="5">
        <v>1.1499999999999999</v>
      </c>
      <c r="H879" s="4">
        <v>0</v>
      </c>
    </row>
    <row r="880" spans="1:8" x14ac:dyDescent="0.2">
      <c r="A880" s="2" t="s">
        <v>88</v>
      </c>
      <c r="B880" s="4">
        <v>133</v>
      </c>
      <c r="C880" s="5">
        <v>6.08</v>
      </c>
      <c r="D880" s="4">
        <v>71</v>
      </c>
      <c r="E880" s="5">
        <v>6.34</v>
      </c>
      <c r="F880" s="4">
        <v>45</v>
      </c>
      <c r="G880" s="5">
        <v>4.3099999999999996</v>
      </c>
      <c r="H880" s="4">
        <v>1</v>
      </c>
    </row>
    <row r="881" spans="1:8" x14ac:dyDescent="0.2">
      <c r="A881" s="2" t="s">
        <v>89</v>
      </c>
      <c r="B881" s="4">
        <v>72</v>
      </c>
      <c r="C881" s="5">
        <v>3.29</v>
      </c>
      <c r="D881" s="4">
        <v>35</v>
      </c>
      <c r="E881" s="5">
        <v>3.13</v>
      </c>
      <c r="F881" s="4">
        <v>35</v>
      </c>
      <c r="G881" s="5">
        <v>3.35</v>
      </c>
      <c r="H881" s="4">
        <v>0</v>
      </c>
    </row>
    <row r="882" spans="1:8" x14ac:dyDescent="0.2">
      <c r="A882" s="1" t="s">
        <v>55</v>
      </c>
      <c r="B882" s="4">
        <v>3045</v>
      </c>
      <c r="C882" s="5">
        <v>100.01</v>
      </c>
      <c r="D882" s="4">
        <v>1543</v>
      </c>
      <c r="E882" s="5">
        <v>100</v>
      </c>
      <c r="F882" s="4">
        <v>1498</v>
      </c>
      <c r="G882" s="5">
        <v>99.99</v>
      </c>
      <c r="H882" s="4">
        <v>1</v>
      </c>
    </row>
    <row r="883" spans="1:8" x14ac:dyDescent="0.2">
      <c r="A883" s="2" t="s">
        <v>75</v>
      </c>
      <c r="B883" s="4">
        <v>0</v>
      </c>
      <c r="C883" s="5">
        <v>0</v>
      </c>
      <c r="D883" s="4">
        <v>0</v>
      </c>
      <c r="E883" s="5">
        <v>0</v>
      </c>
      <c r="F883" s="4">
        <v>0</v>
      </c>
      <c r="G883" s="5">
        <v>0</v>
      </c>
      <c r="H883" s="4">
        <v>0</v>
      </c>
    </row>
    <row r="884" spans="1:8" x14ac:dyDescent="0.2">
      <c r="A884" s="2" t="s">
        <v>76</v>
      </c>
      <c r="B884" s="4">
        <v>372</v>
      </c>
      <c r="C884" s="5">
        <v>12.22</v>
      </c>
      <c r="D884" s="4">
        <v>68</v>
      </c>
      <c r="E884" s="5">
        <v>4.41</v>
      </c>
      <c r="F884" s="4">
        <v>304</v>
      </c>
      <c r="G884" s="5">
        <v>20.29</v>
      </c>
      <c r="H884" s="4">
        <v>0</v>
      </c>
    </row>
    <row r="885" spans="1:8" x14ac:dyDescent="0.2">
      <c r="A885" s="2" t="s">
        <v>77</v>
      </c>
      <c r="B885" s="4">
        <v>435</v>
      </c>
      <c r="C885" s="5">
        <v>14.29</v>
      </c>
      <c r="D885" s="4">
        <v>153</v>
      </c>
      <c r="E885" s="5">
        <v>9.92</v>
      </c>
      <c r="F885" s="4">
        <v>282</v>
      </c>
      <c r="G885" s="5">
        <v>18.829999999999998</v>
      </c>
      <c r="H885" s="4">
        <v>0</v>
      </c>
    </row>
    <row r="886" spans="1:8" x14ac:dyDescent="0.2">
      <c r="A886" s="2" t="s">
        <v>78</v>
      </c>
      <c r="B886" s="4">
        <v>2</v>
      </c>
      <c r="C886" s="5">
        <v>7.0000000000000007E-2</v>
      </c>
      <c r="D886" s="4">
        <v>0</v>
      </c>
      <c r="E886" s="5">
        <v>0</v>
      </c>
      <c r="F886" s="4">
        <v>2</v>
      </c>
      <c r="G886" s="5">
        <v>0.13</v>
      </c>
      <c r="H886" s="4">
        <v>0</v>
      </c>
    </row>
    <row r="887" spans="1:8" x14ac:dyDescent="0.2">
      <c r="A887" s="2" t="s">
        <v>79</v>
      </c>
      <c r="B887" s="4">
        <v>17</v>
      </c>
      <c r="C887" s="5">
        <v>0.56000000000000005</v>
      </c>
      <c r="D887" s="4">
        <v>1</v>
      </c>
      <c r="E887" s="5">
        <v>0.06</v>
      </c>
      <c r="F887" s="4">
        <v>16</v>
      </c>
      <c r="G887" s="5">
        <v>1.07</v>
      </c>
      <c r="H887" s="4">
        <v>0</v>
      </c>
    </row>
    <row r="888" spans="1:8" x14ac:dyDescent="0.2">
      <c r="A888" s="2" t="s">
        <v>80</v>
      </c>
      <c r="B888" s="4">
        <v>63</v>
      </c>
      <c r="C888" s="5">
        <v>2.0699999999999998</v>
      </c>
      <c r="D888" s="4">
        <v>18</v>
      </c>
      <c r="E888" s="5">
        <v>1.17</v>
      </c>
      <c r="F888" s="4">
        <v>45</v>
      </c>
      <c r="G888" s="5">
        <v>3</v>
      </c>
      <c r="H888" s="4">
        <v>0</v>
      </c>
    </row>
    <row r="889" spans="1:8" x14ac:dyDescent="0.2">
      <c r="A889" s="2" t="s">
        <v>81</v>
      </c>
      <c r="B889" s="4">
        <v>511</v>
      </c>
      <c r="C889" s="5">
        <v>16.78</v>
      </c>
      <c r="D889" s="4">
        <v>286</v>
      </c>
      <c r="E889" s="5">
        <v>18.54</v>
      </c>
      <c r="F889" s="4">
        <v>225</v>
      </c>
      <c r="G889" s="5">
        <v>15.02</v>
      </c>
      <c r="H889" s="4">
        <v>0</v>
      </c>
    </row>
    <row r="890" spans="1:8" x14ac:dyDescent="0.2">
      <c r="A890" s="2" t="s">
        <v>82</v>
      </c>
      <c r="B890" s="4">
        <v>9</v>
      </c>
      <c r="C890" s="5">
        <v>0.3</v>
      </c>
      <c r="D890" s="4">
        <v>1</v>
      </c>
      <c r="E890" s="5">
        <v>0.06</v>
      </c>
      <c r="F890" s="4">
        <v>8</v>
      </c>
      <c r="G890" s="5">
        <v>0.53</v>
      </c>
      <c r="H890" s="4">
        <v>0</v>
      </c>
    </row>
    <row r="891" spans="1:8" x14ac:dyDescent="0.2">
      <c r="A891" s="2" t="s">
        <v>83</v>
      </c>
      <c r="B891" s="4">
        <v>395</v>
      </c>
      <c r="C891" s="5">
        <v>12.97</v>
      </c>
      <c r="D891" s="4">
        <v>66</v>
      </c>
      <c r="E891" s="5">
        <v>4.28</v>
      </c>
      <c r="F891" s="4">
        <v>329</v>
      </c>
      <c r="G891" s="5">
        <v>21.96</v>
      </c>
      <c r="H891" s="4">
        <v>0</v>
      </c>
    </row>
    <row r="892" spans="1:8" x14ac:dyDescent="0.2">
      <c r="A892" s="2" t="s">
        <v>84</v>
      </c>
      <c r="B892" s="4">
        <v>73</v>
      </c>
      <c r="C892" s="5">
        <v>2.4</v>
      </c>
      <c r="D892" s="4">
        <v>34</v>
      </c>
      <c r="E892" s="5">
        <v>2.2000000000000002</v>
      </c>
      <c r="F892" s="4">
        <v>39</v>
      </c>
      <c r="G892" s="5">
        <v>2.6</v>
      </c>
      <c r="H892" s="4">
        <v>0</v>
      </c>
    </row>
    <row r="893" spans="1:8" x14ac:dyDescent="0.2">
      <c r="A893" s="2" t="s">
        <v>85</v>
      </c>
      <c r="B893" s="4">
        <v>503</v>
      </c>
      <c r="C893" s="5">
        <v>16.52</v>
      </c>
      <c r="D893" s="4">
        <v>460</v>
      </c>
      <c r="E893" s="5">
        <v>29.81</v>
      </c>
      <c r="F893" s="4">
        <v>43</v>
      </c>
      <c r="G893" s="5">
        <v>2.87</v>
      </c>
      <c r="H893" s="4">
        <v>0</v>
      </c>
    </row>
    <row r="894" spans="1:8" x14ac:dyDescent="0.2">
      <c r="A894" s="2" t="s">
        <v>86</v>
      </c>
      <c r="B894" s="4">
        <v>336</v>
      </c>
      <c r="C894" s="5">
        <v>11.03</v>
      </c>
      <c r="D894" s="4">
        <v>273</v>
      </c>
      <c r="E894" s="5">
        <v>17.690000000000001</v>
      </c>
      <c r="F894" s="4">
        <v>63</v>
      </c>
      <c r="G894" s="5">
        <v>4.21</v>
      </c>
      <c r="H894" s="4">
        <v>0</v>
      </c>
    </row>
    <row r="895" spans="1:8" x14ac:dyDescent="0.2">
      <c r="A895" s="2" t="s">
        <v>87</v>
      </c>
      <c r="B895" s="4">
        <v>55</v>
      </c>
      <c r="C895" s="5">
        <v>1.81</v>
      </c>
      <c r="D895" s="4">
        <v>39</v>
      </c>
      <c r="E895" s="5">
        <v>2.5299999999999998</v>
      </c>
      <c r="F895" s="4">
        <v>15</v>
      </c>
      <c r="G895" s="5">
        <v>1</v>
      </c>
      <c r="H895" s="4">
        <v>0</v>
      </c>
    </row>
    <row r="896" spans="1:8" x14ac:dyDescent="0.2">
      <c r="A896" s="2" t="s">
        <v>88</v>
      </c>
      <c r="B896" s="4">
        <v>167</v>
      </c>
      <c r="C896" s="5">
        <v>5.48</v>
      </c>
      <c r="D896" s="4">
        <v>94</v>
      </c>
      <c r="E896" s="5">
        <v>6.09</v>
      </c>
      <c r="F896" s="4">
        <v>71</v>
      </c>
      <c r="G896" s="5">
        <v>4.74</v>
      </c>
      <c r="H896" s="4">
        <v>0</v>
      </c>
    </row>
    <row r="897" spans="1:8" x14ac:dyDescent="0.2">
      <c r="A897" s="2" t="s">
        <v>89</v>
      </c>
      <c r="B897" s="4">
        <v>107</v>
      </c>
      <c r="C897" s="5">
        <v>3.51</v>
      </c>
      <c r="D897" s="4">
        <v>50</v>
      </c>
      <c r="E897" s="5">
        <v>3.24</v>
      </c>
      <c r="F897" s="4">
        <v>56</v>
      </c>
      <c r="G897" s="5">
        <v>3.74</v>
      </c>
      <c r="H897" s="4">
        <v>1</v>
      </c>
    </row>
    <row r="898" spans="1:8" x14ac:dyDescent="0.2">
      <c r="A898" s="1" t="s">
        <v>56</v>
      </c>
      <c r="B898" s="4">
        <v>2241</v>
      </c>
      <c r="C898" s="5">
        <v>100.00000000000003</v>
      </c>
      <c r="D898" s="4">
        <v>862</v>
      </c>
      <c r="E898" s="5">
        <v>100</v>
      </c>
      <c r="F898" s="4">
        <v>1371</v>
      </c>
      <c r="G898" s="5">
        <v>100</v>
      </c>
      <c r="H898" s="4">
        <v>4</v>
      </c>
    </row>
    <row r="899" spans="1:8" x14ac:dyDescent="0.2">
      <c r="A899" s="2" t="s">
        <v>75</v>
      </c>
      <c r="B899" s="4">
        <v>0</v>
      </c>
      <c r="C899" s="5">
        <v>0</v>
      </c>
      <c r="D899" s="4">
        <v>0</v>
      </c>
      <c r="E899" s="5">
        <v>0</v>
      </c>
      <c r="F899" s="4">
        <v>0</v>
      </c>
      <c r="G899" s="5">
        <v>0</v>
      </c>
      <c r="H899" s="4">
        <v>0</v>
      </c>
    </row>
    <row r="900" spans="1:8" x14ac:dyDescent="0.2">
      <c r="A900" s="2" t="s">
        <v>76</v>
      </c>
      <c r="B900" s="4">
        <v>357</v>
      </c>
      <c r="C900" s="5">
        <v>15.93</v>
      </c>
      <c r="D900" s="4">
        <v>80</v>
      </c>
      <c r="E900" s="5">
        <v>9.2799999999999994</v>
      </c>
      <c r="F900" s="4">
        <v>277</v>
      </c>
      <c r="G900" s="5">
        <v>20.2</v>
      </c>
      <c r="H900" s="4">
        <v>0</v>
      </c>
    </row>
    <row r="901" spans="1:8" x14ac:dyDescent="0.2">
      <c r="A901" s="2" t="s">
        <v>77</v>
      </c>
      <c r="B901" s="4">
        <v>428</v>
      </c>
      <c r="C901" s="5">
        <v>19.100000000000001</v>
      </c>
      <c r="D901" s="4">
        <v>120</v>
      </c>
      <c r="E901" s="5">
        <v>13.92</v>
      </c>
      <c r="F901" s="4">
        <v>308</v>
      </c>
      <c r="G901" s="5">
        <v>22.47</v>
      </c>
      <c r="H901" s="4">
        <v>0</v>
      </c>
    </row>
    <row r="902" spans="1:8" x14ac:dyDescent="0.2">
      <c r="A902" s="2" t="s">
        <v>78</v>
      </c>
      <c r="B902" s="4">
        <v>0</v>
      </c>
      <c r="C902" s="5">
        <v>0</v>
      </c>
      <c r="D902" s="4">
        <v>0</v>
      </c>
      <c r="E902" s="5">
        <v>0</v>
      </c>
      <c r="F902" s="4">
        <v>0</v>
      </c>
      <c r="G902" s="5">
        <v>0</v>
      </c>
      <c r="H902" s="4">
        <v>0</v>
      </c>
    </row>
    <row r="903" spans="1:8" x14ac:dyDescent="0.2">
      <c r="A903" s="2" t="s">
        <v>79</v>
      </c>
      <c r="B903" s="4">
        <v>10</v>
      </c>
      <c r="C903" s="5">
        <v>0.45</v>
      </c>
      <c r="D903" s="4">
        <v>0</v>
      </c>
      <c r="E903" s="5">
        <v>0</v>
      </c>
      <c r="F903" s="4">
        <v>10</v>
      </c>
      <c r="G903" s="5">
        <v>0.73</v>
      </c>
      <c r="H903" s="4">
        <v>0</v>
      </c>
    </row>
    <row r="904" spans="1:8" x14ac:dyDescent="0.2">
      <c r="A904" s="2" t="s">
        <v>80</v>
      </c>
      <c r="B904" s="4">
        <v>58</v>
      </c>
      <c r="C904" s="5">
        <v>2.59</v>
      </c>
      <c r="D904" s="4">
        <v>1</v>
      </c>
      <c r="E904" s="5">
        <v>0.12</v>
      </c>
      <c r="F904" s="4">
        <v>57</v>
      </c>
      <c r="G904" s="5">
        <v>4.16</v>
      </c>
      <c r="H904" s="4">
        <v>0</v>
      </c>
    </row>
    <row r="905" spans="1:8" x14ac:dyDescent="0.2">
      <c r="A905" s="2" t="s">
        <v>81</v>
      </c>
      <c r="B905" s="4">
        <v>357</v>
      </c>
      <c r="C905" s="5">
        <v>15.93</v>
      </c>
      <c r="D905" s="4">
        <v>156</v>
      </c>
      <c r="E905" s="5">
        <v>18.100000000000001</v>
      </c>
      <c r="F905" s="4">
        <v>201</v>
      </c>
      <c r="G905" s="5">
        <v>14.66</v>
      </c>
      <c r="H905" s="4">
        <v>0</v>
      </c>
    </row>
    <row r="906" spans="1:8" x14ac:dyDescent="0.2">
      <c r="A906" s="2" t="s">
        <v>82</v>
      </c>
      <c r="B906" s="4">
        <v>10</v>
      </c>
      <c r="C906" s="5">
        <v>0.45</v>
      </c>
      <c r="D906" s="4">
        <v>2</v>
      </c>
      <c r="E906" s="5">
        <v>0.23</v>
      </c>
      <c r="F906" s="4">
        <v>8</v>
      </c>
      <c r="G906" s="5">
        <v>0.57999999999999996</v>
      </c>
      <c r="H906" s="4">
        <v>0</v>
      </c>
    </row>
    <row r="907" spans="1:8" x14ac:dyDescent="0.2">
      <c r="A907" s="2" t="s">
        <v>83</v>
      </c>
      <c r="B907" s="4">
        <v>351</v>
      </c>
      <c r="C907" s="5">
        <v>15.66</v>
      </c>
      <c r="D907" s="4">
        <v>41</v>
      </c>
      <c r="E907" s="5">
        <v>4.76</v>
      </c>
      <c r="F907" s="4">
        <v>310</v>
      </c>
      <c r="G907" s="5">
        <v>22.61</v>
      </c>
      <c r="H907" s="4">
        <v>0</v>
      </c>
    </row>
    <row r="908" spans="1:8" x14ac:dyDescent="0.2">
      <c r="A908" s="2" t="s">
        <v>84</v>
      </c>
      <c r="B908" s="4">
        <v>52</v>
      </c>
      <c r="C908" s="5">
        <v>2.3199999999999998</v>
      </c>
      <c r="D908" s="4">
        <v>20</v>
      </c>
      <c r="E908" s="5">
        <v>2.3199999999999998</v>
      </c>
      <c r="F908" s="4">
        <v>32</v>
      </c>
      <c r="G908" s="5">
        <v>2.33</v>
      </c>
      <c r="H908" s="4">
        <v>0</v>
      </c>
    </row>
    <row r="909" spans="1:8" x14ac:dyDescent="0.2">
      <c r="A909" s="2" t="s">
        <v>85</v>
      </c>
      <c r="B909" s="4">
        <v>198</v>
      </c>
      <c r="C909" s="5">
        <v>8.84</v>
      </c>
      <c r="D909" s="4">
        <v>168</v>
      </c>
      <c r="E909" s="5">
        <v>19.489999999999998</v>
      </c>
      <c r="F909" s="4">
        <v>30</v>
      </c>
      <c r="G909" s="5">
        <v>2.19</v>
      </c>
      <c r="H909" s="4">
        <v>0</v>
      </c>
    </row>
    <row r="910" spans="1:8" x14ac:dyDescent="0.2">
      <c r="A910" s="2" t="s">
        <v>86</v>
      </c>
      <c r="B910" s="4">
        <v>174</v>
      </c>
      <c r="C910" s="5">
        <v>7.76</v>
      </c>
      <c r="D910" s="4">
        <v>141</v>
      </c>
      <c r="E910" s="5">
        <v>16.36</v>
      </c>
      <c r="F910" s="4">
        <v>33</v>
      </c>
      <c r="G910" s="5">
        <v>2.41</v>
      </c>
      <c r="H910" s="4">
        <v>0</v>
      </c>
    </row>
    <row r="911" spans="1:8" x14ac:dyDescent="0.2">
      <c r="A911" s="2" t="s">
        <v>87</v>
      </c>
      <c r="B911" s="4">
        <v>55</v>
      </c>
      <c r="C911" s="5">
        <v>2.4500000000000002</v>
      </c>
      <c r="D911" s="4">
        <v>35</v>
      </c>
      <c r="E911" s="5">
        <v>4.0599999999999996</v>
      </c>
      <c r="F911" s="4">
        <v>13</v>
      </c>
      <c r="G911" s="5">
        <v>0.95</v>
      </c>
      <c r="H911" s="4">
        <v>3</v>
      </c>
    </row>
    <row r="912" spans="1:8" x14ac:dyDescent="0.2">
      <c r="A912" s="2" t="s">
        <v>88</v>
      </c>
      <c r="B912" s="4">
        <v>85</v>
      </c>
      <c r="C912" s="5">
        <v>3.79</v>
      </c>
      <c r="D912" s="4">
        <v>54</v>
      </c>
      <c r="E912" s="5">
        <v>6.26</v>
      </c>
      <c r="F912" s="4">
        <v>31</v>
      </c>
      <c r="G912" s="5">
        <v>2.2599999999999998</v>
      </c>
      <c r="H912" s="4">
        <v>0</v>
      </c>
    </row>
    <row r="913" spans="1:8" x14ac:dyDescent="0.2">
      <c r="A913" s="2" t="s">
        <v>89</v>
      </c>
      <c r="B913" s="4">
        <v>106</v>
      </c>
      <c r="C913" s="5">
        <v>4.7300000000000004</v>
      </c>
      <c r="D913" s="4">
        <v>44</v>
      </c>
      <c r="E913" s="5">
        <v>5.0999999999999996</v>
      </c>
      <c r="F913" s="4">
        <v>61</v>
      </c>
      <c r="G913" s="5">
        <v>4.45</v>
      </c>
      <c r="H913" s="4">
        <v>1</v>
      </c>
    </row>
    <row r="914" spans="1:8" x14ac:dyDescent="0.2">
      <c r="A914" s="1" t="s">
        <v>57</v>
      </c>
      <c r="B914" s="4">
        <v>1123</v>
      </c>
      <c r="C914" s="5">
        <v>100.01000000000002</v>
      </c>
      <c r="D914" s="4">
        <v>591</v>
      </c>
      <c r="E914" s="5">
        <v>99.989999999999981</v>
      </c>
      <c r="F914" s="4">
        <v>528</v>
      </c>
      <c r="G914" s="5">
        <v>100</v>
      </c>
      <c r="H914" s="4">
        <v>0</v>
      </c>
    </row>
    <row r="915" spans="1:8" x14ac:dyDescent="0.2">
      <c r="A915" s="2" t="s">
        <v>75</v>
      </c>
      <c r="B915" s="4">
        <v>0</v>
      </c>
      <c r="C915" s="5">
        <v>0</v>
      </c>
      <c r="D915" s="4">
        <v>0</v>
      </c>
      <c r="E915" s="5">
        <v>0</v>
      </c>
      <c r="F915" s="4">
        <v>0</v>
      </c>
      <c r="G915" s="5">
        <v>0</v>
      </c>
      <c r="H915" s="4">
        <v>0</v>
      </c>
    </row>
    <row r="916" spans="1:8" x14ac:dyDescent="0.2">
      <c r="A916" s="2" t="s">
        <v>76</v>
      </c>
      <c r="B916" s="4">
        <v>140</v>
      </c>
      <c r="C916" s="5">
        <v>12.47</v>
      </c>
      <c r="D916" s="4">
        <v>23</v>
      </c>
      <c r="E916" s="5">
        <v>3.89</v>
      </c>
      <c r="F916" s="4">
        <v>117</v>
      </c>
      <c r="G916" s="5">
        <v>22.16</v>
      </c>
      <c r="H916" s="4">
        <v>0</v>
      </c>
    </row>
    <row r="917" spans="1:8" x14ac:dyDescent="0.2">
      <c r="A917" s="2" t="s">
        <v>77</v>
      </c>
      <c r="B917" s="4">
        <v>77</v>
      </c>
      <c r="C917" s="5">
        <v>6.86</v>
      </c>
      <c r="D917" s="4">
        <v>23</v>
      </c>
      <c r="E917" s="5">
        <v>3.89</v>
      </c>
      <c r="F917" s="4">
        <v>54</v>
      </c>
      <c r="G917" s="5">
        <v>10.23</v>
      </c>
      <c r="H917" s="4">
        <v>0</v>
      </c>
    </row>
    <row r="918" spans="1:8" x14ac:dyDescent="0.2">
      <c r="A918" s="2" t="s">
        <v>78</v>
      </c>
      <c r="B918" s="4">
        <v>1</v>
      </c>
      <c r="C918" s="5">
        <v>0.09</v>
      </c>
      <c r="D918" s="4">
        <v>0</v>
      </c>
      <c r="E918" s="5">
        <v>0</v>
      </c>
      <c r="F918" s="4">
        <v>1</v>
      </c>
      <c r="G918" s="5">
        <v>0.19</v>
      </c>
      <c r="H918" s="4">
        <v>0</v>
      </c>
    </row>
    <row r="919" spans="1:8" x14ac:dyDescent="0.2">
      <c r="A919" s="2" t="s">
        <v>79</v>
      </c>
      <c r="B919" s="4">
        <v>11</v>
      </c>
      <c r="C919" s="5">
        <v>0.98</v>
      </c>
      <c r="D919" s="4">
        <v>0</v>
      </c>
      <c r="E919" s="5">
        <v>0</v>
      </c>
      <c r="F919" s="4">
        <v>11</v>
      </c>
      <c r="G919" s="5">
        <v>2.08</v>
      </c>
      <c r="H919" s="4">
        <v>0</v>
      </c>
    </row>
    <row r="920" spans="1:8" x14ac:dyDescent="0.2">
      <c r="A920" s="2" t="s">
        <v>80</v>
      </c>
      <c r="B920" s="4">
        <v>15</v>
      </c>
      <c r="C920" s="5">
        <v>1.34</v>
      </c>
      <c r="D920" s="4">
        <v>1</v>
      </c>
      <c r="E920" s="5">
        <v>0.17</v>
      </c>
      <c r="F920" s="4">
        <v>14</v>
      </c>
      <c r="G920" s="5">
        <v>2.65</v>
      </c>
      <c r="H920" s="4">
        <v>0</v>
      </c>
    </row>
    <row r="921" spans="1:8" x14ac:dyDescent="0.2">
      <c r="A921" s="2" t="s">
        <v>81</v>
      </c>
      <c r="B921" s="4">
        <v>239</v>
      </c>
      <c r="C921" s="5">
        <v>21.28</v>
      </c>
      <c r="D921" s="4">
        <v>137</v>
      </c>
      <c r="E921" s="5">
        <v>23.18</v>
      </c>
      <c r="F921" s="4">
        <v>102</v>
      </c>
      <c r="G921" s="5">
        <v>19.32</v>
      </c>
      <c r="H921" s="4">
        <v>0</v>
      </c>
    </row>
    <row r="922" spans="1:8" x14ac:dyDescent="0.2">
      <c r="A922" s="2" t="s">
        <v>82</v>
      </c>
      <c r="B922" s="4">
        <v>4</v>
      </c>
      <c r="C922" s="5">
        <v>0.36</v>
      </c>
      <c r="D922" s="4">
        <v>1</v>
      </c>
      <c r="E922" s="5">
        <v>0.17</v>
      </c>
      <c r="F922" s="4">
        <v>3</v>
      </c>
      <c r="G922" s="5">
        <v>0.56999999999999995</v>
      </c>
      <c r="H922" s="4">
        <v>0</v>
      </c>
    </row>
    <row r="923" spans="1:8" x14ac:dyDescent="0.2">
      <c r="A923" s="2" t="s">
        <v>83</v>
      </c>
      <c r="B923" s="4">
        <v>133</v>
      </c>
      <c r="C923" s="5">
        <v>11.84</v>
      </c>
      <c r="D923" s="4">
        <v>43</v>
      </c>
      <c r="E923" s="5">
        <v>7.28</v>
      </c>
      <c r="F923" s="4">
        <v>90</v>
      </c>
      <c r="G923" s="5">
        <v>17.05</v>
      </c>
      <c r="H923" s="4">
        <v>0</v>
      </c>
    </row>
    <row r="924" spans="1:8" x14ac:dyDescent="0.2">
      <c r="A924" s="2" t="s">
        <v>84</v>
      </c>
      <c r="B924" s="4">
        <v>47</v>
      </c>
      <c r="C924" s="5">
        <v>4.1900000000000004</v>
      </c>
      <c r="D924" s="4">
        <v>19</v>
      </c>
      <c r="E924" s="5">
        <v>3.21</v>
      </c>
      <c r="F924" s="4">
        <v>28</v>
      </c>
      <c r="G924" s="5">
        <v>5.3</v>
      </c>
      <c r="H924" s="4">
        <v>0</v>
      </c>
    </row>
    <row r="925" spans="1:8" x14ac:dyDescent="0.2">
      <c r="A925" s="2" t="s">
        <v>85</v>
      </c>
      <c r="B925" s="4">
        <v>133</v>
      </c>
      <c r="C925" s="5">
        <v>11.84</v>
      </c>
      <c r="D925" s="4">
        <v>111</v>
      </c>
      <c r="E925" s="5">
        <v>18.78</v>
      </c>
      <c r="F925" s="4">
        <v>22</v>
      </c>
      <c r="G925" s="5">
        <v>4.17</v>
      </c>
      <c r="H925" s="4">
        <v>0</v>
      </c>
    </row>
    <row r="926" spans="1:8" x14ac:dyDescent="0.2">
      <c r="A926" s="2" t="s">
        <v>86</v>
      </c>
      <c r="B926" s="4">
        <v>153</v>
      </c>
      <c r="C926" s="5">
        <v>13.62</v>
      </c>
      <c r="D926" s="4">
        <v>121</v>
      </c>
      <c r="E926" s="5">
        <v>20.47</v>
      </c>
      <c r="F926" s="4">
        <v>31</v>
      </c>
      <c r="G926" s="5">
        <v>5.87</v>
      </c>
      <c r="H926" s="4">
        <v>0</v>
      </c>
    </row>
    <row r="927" spans="1:8" x14ac:dyDescent="0.2">
      <c r="A927" s="2" t="s">
        <v>87</v>
      </c>
      <c r="B927" s="4">
        <v>61</v>
      </c>
      <c r="C927" s="5">
        <v>5.43</v>
      </c>
      <c r="D927" s="4">
        <v>49</v>
      </c>
      <c r="E927" s="5">
        <v>8.2899999999999991</v>
      </c>
      <c r="F927" s="4">
        <v>11</v>
      </c>
      <c r="G927" s="5">
        <v>2.08</v>
      </c>
      <c r="H927" s="4">
        <v>0</v>
      </c>
    </row>
    <row r="928" spans="1:8" x14ac:dyDescent="0.2">
      <c r="A928" s="2" t="s">
        <v>88</v>
      </c>
      <c r="B928" s="4">
        <v>65</v>
      </c>
      <c r="C928" s="5">
        <v>5.79</v>
      </c>
      <c r="D928" s="4">
        <v>45</v>
      </c>
      <c r="E928" s="5">
        <v>7.61</v>
      </c>
      <c r="F928" s="4">
        <v>19</v>
      </c>
      <c r="G928" s="5">
        <v>3.6</v>
      </c>
      <c r="H928" s="4">
        <v>0</v>
      </c>
    </row>
    <row r="929" spans="1:8" x14ac:dyDescent="0.2">
      <c r="A929" s="2" t="s">
        <v>89</v>
      </c>
      <c r="B929" s="4">
        <v>44</v>
      </c>
      <c r="C929" s="5">
        <v>3.92</v>
      </c>
      <c r="D929" s="4">
        <v>18</v>
      </c>
      <c r="E929" s="5">
        <v>3.05</v>
      </c>
      <c r="F929" s="4">
        <v>25</v>
      </c>
      <c r="G929" s="5">
        <v>4.7300000000000004</v>
      </c>
      <c r="H929" s="4">
        <v>0</v>
      </c>
    </row>
    <row r="930" spans="1:8" x14ac:dyDescent="0.2">
      <c r="A930" s="1" t="s">
        <v>58</v>
      </c>
      <c r="B930" s="4">
        <v>1652</v>
      </c>
      <c r="C930" s="5">
        <v>100.02</v>
      </c>
      <c r="D930" s="4">
        <v>966</v>
      </c>
      <c r="E930" s="5">
        <v>99.989999999999981</v>
      </c>
      <c r="F930" s="4">
        <v>684</v>
      </c>
      <c r="G930" s="5">
        <v>100.01</v>
      </c>
      <c r="H930" s="4">
        <v>0</v>
      </c>
    </row>
    <row r="931" spans="1:8" x14ac:dyDescent="0.2">
      <c r="A931" s="2" t="s">
        <v>75</v>
      </c>
      <c r="B931" s="4">
        <v>0</v>
      </c>
      <c r="C931" s="5">
        <v>0</v>
      </c>
      <c r="D931" s="4">
        <v>0</v>
      </c>
      <c r="E931" s="5">
        <v>0</v>
      </c>
      <c r="F931" s="4">
        <v>0</v>
      </c>
      <c r="G931" s="5">
        <v>0</v>
      </c>
      <c r="H931" s="4">
        <v>0</v>
      </c>
    </row>
    <row r="932" spans="1:8" x14ac:dyDescent="0.2">
      <c r="A932" s="2" t="s">
        <v>76</v>
      </c>
      <c r="B932" s="4">
        <v>166</v>
      </c>
      <c r="C932" s="5">
        <v>10.050000000000001</v>
      </c>
      <c r="D932" s="4">
        <v>54</v>
      </c>
      <c r="E932" s="5">
        <v>5.59</v>
      </c>
      <c r="F932" s="4">
        <v>112</v>
      </c>
      <c r="G932" s="5">
        <v>16.37</v>
      </c>
      <c r="H932" s="4">
        <v>0</v>
      </c>
    </row>
    <row r="933" spans="1:8" x14ac:dyDescent="0.2">
      <c r="A933" s="2" t="s">
        <v>77</v>
      </c>
      <c r="B933" s="4">
        <v>149</v>
      </c>
      <c r="C933" s="5">
        <v>9.02</v>
      </c>
      <c r="D933" s="4">
        <v>60</v>
      </c>
      <c r="E933" s="5">
        <v>6.21</v>
      </c>
      <c r="F933" s="4">
        <v>89</v>
      </c>
      <c r="G933" s="5">
        <v>13.01</v>
      </c>
      <c r="H933" s="4">
        <v>0</v>
      </c>
    </row>
    <row r="934" spans="1:8" x14ac:dyDescent="0.2">
      <c r="A934" s="2" t="s">
        <v>78</v>
      </c>
      <c r="B934" s="4">
        <v>0</v>
      </c>
      <c r="C934" s="5">
        <v>0</v>
      </c>
      <c r="D934" s="4">
        <v>0</v>
      </c>
      <c r="E934" s="5">
        <v>0</v>
      </c>
      <c r="F934" s="4">
        <v>0</v>
      </c>
      <c r="G934" s="5">
        <v>0</v>
      </c>
      <c r="H934" s="4">
        <v>0</v>
      </c>
    </row>
    <row r="935" spans="1:8" x14ac:dyDescent="0.2">
      <c r="A935" s="2" t="s">
        <v>79</v>
      </c>
      <c r="B935" s="4">
        <v>10</v>
      </c>
      <c r="C935" s="5">
        <v>0.61</v>
      </c>
      <c r="D935" s="4">
        <v>1</v>
      </c>
      <c r="E935" s="5">
        <v>0.1</v>
      </c>
      <c r="F935" s="4">
        <v>9</v>
      </c>
      <c r="G935" s="5">
        <v>1.32</v>
      </c>
      <c r="H935" s="4">
        <v>0</v>
      </c>
    </row>
    <row r="936" spans="1:8" x14ac:dyDescent="0.2">
      <c r="A936" s="2" t="s">
        <v>80</v>
      </c>
      <c r="B936" s="4">
        <v>10</v>
      </c>
      <c r="C936" s="5">
        <v>0.61</v>
      </c>
      <c r="D936" s="4">
        <v>3</v>
      </c>
      <c r="E936" s="5">
        <v>0.31</v>
      </c>
      <c r="F936" s="4">
        <v>7</v>
      </c>
      <c r="G936" s="5">
        <v>1.02</v>
      </c>
      <c r="H936" s="4">
        <v>0</v>
      </c>
    </row>
    <row r="937" spans="1:8" x14ac:dyDescent="0.2">
      <c r="A937" s="2" t="s">
        <v>81</v>
      </c>
      <c r="B937" s="4">
        <v>338</v>
      </c>
      <c r="C937" s="5">
        <v>20.46</v>
      </c>
      <c r="D937" s="4">
        <v>182</v>
      </c>
      <c r="E937" s="5">
        <v>18.84</v>
      </c>
      <c r="F937" s="4">
        <v>156</v>
      </c>
      <c r="G937" s="5">
        <v>22.81</v>
      </c>
      <c r="H937" s="4">
        <v>0</v>
      </c>
    </row>
    <row r="938" spans="1:8" x14ac:dyDescent="0.2">
      <c r="A938" s="2" t="s">
        <v>82</v>
      </c>
      <c r="B938" s="4">
        <v>12</v>
      </c>
      <c r="C938" s="5">
        <v>0.73</v>
      </c>
      <c r="D938" s="4">
        <v>4</v>
      </c>
      <c r="E938" s="5">
        <v>0.41</v>
      </c>
      <c r="F938" s="4">
        <v>8</v>
      </c>
      <c r="G938" s="5">
        <v>1.17</v>
      </c>
      <c r="H938" s="4">
        <v>0</v>
      </c>
    </row>
    <row r="939" spans="1:8" x14ac:dyDescent="0.2">
      <c r="A939" s="2" t="s">
        <v>83</v>
      </c>
      <c r="B939" s="4">
        <v>291</v>
      </c>
      <c r="C939" s="5">
        <v>17.62</v>
      </c>
      <c r="D939" s="4">
        <v>125</v>
      </c>
      <c r="E939" s="5">
        <v>12.94</v>
      </c>
      <c r="F939" s="4">
        <v>166</v>
      </c>
      <c r="G939" s="5">
        <v>24.27</v>
      </c>
      <c r="H939" s="4">
        <v>0</v>
      </c>
    </row>
    <row r="940" spans="1:8" x14ac:dyDescent="0.2">
      <c r="A940" s="2" t="s">
        <v>84</v>
      </c>
      <c r="B940" s="4">
        <v>53</v>
      </c>
      <c r="C940" s="5">
        <v>3.21</v>
      </c>
      <c r="D940" s="4">
        <v>28</v>
      </c>
      <c r="E940" s="5">
        <v>2.9</v>
      </c>
      <c r="F940" s="4">
        <v>24</v>
      </c>
      <c r="G940" s="5">
        <v>3.51</v>
      </c>
      <c r="H940" s="4">
        <v>0</v>
      </c>
    </row>
    <row r="941" spans="1:8" x14ac:dyDescent="0.2">
      <c r="A941" s="2" t="s">
        <v>85</v>
      </c>
      <c r="B941" s="4">
        <v>247</v>
      </c>
      <c r="C941" s="5">
        <v>14.95</v>
      </c>
      <c r="D941" s="4">
        <v>220</v>
      </c>
      <c r="E941" s="5">
        <v>22.77</v>
      </c>
      <c r="F941" s="4">
        <v>27</v>
      </c>
      <c r="G941" s="5">
        <v>3.95</v>
      </c>
      <c r="H941" s="4">
        <v>0</v>
      </c>
    </row>
    <row r="942" spans="1:8" x14ac:dyDescent="0.2">
      <c r="A942" s="2" t="s">
        <v>86</v>
      </c>
      <c r="B942" s="4">
        <v>174</v>
      </c>
      <c r="C942" s="5">
        <v>10.53</v>
      </c>
      <c r="D942" s="4">
        <v>144</v>
      </c>
      <c r="E942" s="5">
        <v>14.91</v>
      </c>
      <c r="F942" s="4">
        <v>30</v>
      </c>
      <c r="G942" s="5">
        <v>4.3899999999999997</v>
      </c>
      <c r="H942" s="4">
        <v>0</v>
      </c>
    </row>
    <row r="943" spans="1:8" x14ac:dyDescent="0.2">
      <c r="A943" s="2" t="s">
        <v>87</v>
      </c>
      <c r="B943" s="4">
        <v>67</v>
      </c>
      <c r="C943" s="5">
        <v>4.0599999999999996</v>
      </c>
      <c r="D943" s="4">
        <v>56</v>
      </c>
      <c r="E943" s="5">
        <v>5.8</v>
      </c>
      <c r="F943" s="4">
        <v>11</v>
      </c>
      <c r="G943" s="5">
        <v>1.61</v>
      </c>
      <c r="H943" s="4">
        <v>0</v>
      </c>
    </row>
    <row r="944" spans="1:8" x14ac:dyDescent="0.2">
      <c r="A944" s="2" t="s">
        <v>88</v>
      </c>
      <c r="B944" s="4">
        <v>89</v>
      </c>
      <c r="C944" s="5">
        <v>5.39</v>
      </c>
      <c r="D944" s="4">
        <v>66</v>
      </c>
      <c r="E944" s="5">
        <v>6.83</v>
      </c>
      <c r="F944" s="4">
        <v>23</v>
      </c>
      <c r="G944" s="5">
        <v>3.36</v>
      </c>
      <c r="H944" s="4">
        <v>0</v>
      </c>
    </row>
    <row r="945" spans="1:8" x14ac:dyDescent="0.2">
      <c r="A945" s="2" t="s">
        <v>89</v>
      </c>
      <c r="B945" s="4">
        <v>46</v>
      </c>
      <c r="C945" s="5">
        <v>2.78</v>
      </c>
      <c r="D945" s="4">
        <v>23</v>
      </c>
      <c r="E945" s="5">
        <v>2.38</v>
      </c>
      <c r="F945" s="4">
        <v>22</v>
      </c>
      <c r="G945" s="5">
        <v>3.22</v>
      </c>
      <c r="H945" s="4">
        <v>0</v>
      </c>
    </row>
    <row r="946" spans="1:8" x14ac:dyDescent="0.2">
      <c r="A946" s="1" t="s">
        <v>59</v>
      </c>
      <c r="B946" s="4">
        <v>14740</v>
      </c>
      <c r="C946" s="5">
        <v>100.00000000000001</v>
      </c>
      <c r="D946" s="4">
        <v>7073</v>
      </c>
      <c r="E946" s="5">
        <v>100</v>
      </c>
      <c r="F946" s="4">
        <v>7655</v>
      </c>
      <c r="G946" s="5">
        <v>99.99</v>
      </c>
      <c r="H946" s="4">
        <v>7</v>
      </c>
    </row>
    <row r="947" spans="1:8" x14ac:dyDescent="0.2">
      <c r="A947" s="2" t="s">
        <v>75</v>
      </c>
      <c r="B947" s="4">
        <v>0</v>
      </c>
      <c r="C947" s="5">
        <v>0</v>
      </c>
      <c r="D947" s="4">
        <v>0</v>
      </c>
      <c r="E947" s="5">
        <v>0</v>
      </c>
      <c r="F947" s="4">
        <v>0</v>
      </c>
      <c r="G947" s="5">
        <v>0</v>
      </c>
      <c r="H947" s="4">
        <v>0</v>
      </c>
    </row>
    <row r="948" spans="1:8" x14ac:dyDescent="0.2">
      <c r="A948" s="2" t="s">
        <v>76</v>
      </c>
      <c r="B948" s="4">
        <v>1490</v>
      </c>
      <c r="C948" s="5">
        <v>10.11</v>
      </c>
      <c r="D948" s="4">
        <v>329</v>
      </c>
      <c r="E948" s="5">
        <v>4.6500000000000004</v>
      </c>
      <c r="F948" s="4">
        <v>1160</v>
      </c>
      <c r="G948" s="5">
        <v>15.15</v>
      </c>
      <c r="H948" s="4">
        <v>1</v>
      </c>
    </row>
    <row r="949" spans="1:8" x14ac:dyDescent="0.2">
      <c r="A949" s="2" t="s">
        <v>77</v>
      </c>
      <c r="B949" s="4">
        <v>3917</v>
      </c>
      <c r="C949" s="5">
        <v>26.57</v>
      </c>
      <c r="D949" s="4">
        <v>1618</v>
      </c>
      <c r="E949" s="5">
        <v>22.88</v>
      </c>
      <c r="F949" s="4">
        <v>2299</v>
      </c>
      <c r="G949" s="5">
        <v>30.03</v>
      </c>
      <c r="H949" s="4">
        <v>0</v>
      </c>
    </row>
    <row r="950" spans="1:8" x14ac:dyDescent="0.2">
      <c r="A950" s="2" t="s">
        <v>78</v>
      </c>
      <c r="B950" s="4">
        <v>4</v>
      </c>
      <c r="C950" s="5">
        <v>0.03</v>
      </c>
      <c r="D950" s="4">
        <v>0</v>
      </c>
      <c r="E950" s="5">
        <v>0</v>
      </c>
      <c r="F950" s="4">
        <v>4</v>
      </c>
      <c r="G950" s="5">
        <v>0.05</v>
      </c>
      <c r="H950" s="4">
        <v>0</v>
      </c>
    </row>
    <row r="951" spans="1:8" x14ac:dyDescent="0.2">
      <c r="A951" s="2" t="s">
        <v>79</v>
      </c>
      <c r="B951" s="4">
        <v>92</v>
      </c>
      <c r="C951" s="5">
        <v>0.62</v>
      </c>
      <c r="D951" s="4">
        <v>7</v>
      </c>
      <c r="E951" s="5">
        <v>0.1</v>
      </c>
      <c r="F951" s="4">
        <v>85</v>
      </c>
      <c r="G951" s="5">
        <v>1.1100000000000001</v>
      </c>
      <c r="H951" s="4">
        <v>0</v>
      </c>
    </row>
    <row r="952" spans="1:8" x14ac:dyDescent="0.2">
      <c r="A952" s="2" t="s">
        <v>80</v>
      </c>
      <c r="B952" s="4">
        <v>226</v>
      </c>
      <c r="C952" s="5">
        <v>1.53</v>
      </c>
      <c r="D952" s="4">
        <v>74</v>
      </c>
      <c r="E952" s="5">
        <v>1.05</v>
      </c>
      <c r="F952" s="4">
        <v>151</v>
      </c>
      <c r="G952" s="5">
        <v>1.97</v>
      </c>
      <c r="H952" s="4">
        <v>1</v>
      </c>
    </row>
    <row r="953" spans="1:8" x14ac:dyDescent="0.2">
      <c r="A953" s="2" t="s">
        <v>81</v>
      </c>
      <c r="B953" s="4">
        <v>2821</v>
      </c>
      <c r="C953" s="5">
        <v>19.14</v>
      </c>
      <c r="D953" s="4">
        <v>1408</v>
      </c>
      <c r="E953" s="5">
        <v>19.91</v>
      </c>
      <c r="F953" s="4">
        <v>1413</v>
      </c>
      <c r="G953" s="5">
        <v>18.46</v>
      </c>
      <c r="H953" s="4">
        <v>0</v>
      </c>
    </row>
    <row r="954" spans="1:8" x14ac:dyDescent="0.2">
      <c r="A954" s="2" t="s">
        <v>82</v>
      </c>
      <c r="B954" s="4">
        <v>71</v>
      </c>
      <c r="C954" s="5">
        <v>0.48</v>
      </c>
      <c r="D954" s="4">
        <v>12</v>
      </c>
      <c r="E954" s="5">
        <v>0.17</v>
      </c>
      <c r="F954" s="4">
        <v>59</v>
      </c>
      <c r="G954" s="5">
        <v>0.77</v>
      </c>
      <c r="H954" s="4">
        <v>0</v>
      </c>
    </row>
    <row r="955" spans="1:8" x14ac:dyDescent="0.2">
      <c r="A955" s="2" t="s">
        <v>83</v>
      </c>
      <c r="B955" s="4">
        <v>1670</v>
      </c>
      <c r="C955" s="5">
        <v>11.33</v>
      </c>
      <c r="D955" s="4">
        <v>327</v>
      </c>
      <c r="E955" s="5">
        <v>4.62</v>
      </c>
      <c r="F955" s="4">
        <v>1339</v>
      </c>
      <c r="G955" s="5">
        <v>17.489999999999998</v>
      </c>
      <c r="H955" s="4">
        <v>4</v>
      </c>
    </row>
    <row r="956" spans="1:8" x14ac:dyDescent="0.2">
      <c r="A956" s="2" t="s">
        <v>84</v>
      </c>
      <c r="B956" s="4">
        <v>449</v>
      </c>
      <c r="C956" s="5">
        <v>3.05</v>
      </c>
      <c r="D956" s="4">
        <v>227</v>
      </c>
      <c r="E956" s="5">
        <v>3.21</v>
      </c>
      <c r="F956" s="4">
        <v>222</v>
      </c>
      <c r="G956" s="5">
        <v>2.9</v>
      </c>
      <c r="H956" s="4">
        <v>0</v>
      </c>
    </row>
    <row r="957" spans="1:8" x14ac:dyDescent="0.2">
      <c r="A957" s="2" t="s">
        <v>85</v>
      </c>
      <c r="B957" s="4">
        <v>1414</v>
      </c>
      <c r="C957" s="5">
        <v>9.59</v>
      </c>
      <c r="D957" s="4">
        <v>1281</v>
      </c>
      <c r="E957" s="5">
        <v>18.11</v>
      </c>
      <c r="F957" s="4">
        <v>131</v>
      </c>
      <c r="G957" s="5">
        <v>1.71</v>
      </c>
      <c r="H957" s="4">
        <v>0</v>
      </c>
    </row>
    <row r="958" spans="1:8" x14ac:dyDescent="0.2">
      <c r="A958" s="2" t="s">
        <v>86</v>
      </c>
      <c r="B958" s="4">
        <v>1180</v>
      </c>
      <c r="C958" s="5">
        <v>8.01</v>
      </c>
      <c r="D958" s="4">
        <v>965</v>
      </c>
      <c r="E958" s="5">
        <v>13.64</v>
      </c>
      <c r="F958" s="4">
        <v>215</v>
      </c>
      <c r="G958" s="5">
        <v>2.81</v>
      </c>
      <c r="H958" s="4">
        <v>0</v>
      </c>
    </row>
    <row r="959" spans="1:8" x14ac:dyDescent="0.2">
      <c r="A959" s="2" t="s">
        <v>87</v>
      </c>
      <c r="B959" s="4">
        <v>350</v>
      </c>
      <c r="C959" s="5">
        <v>2.37</v>
      </c>
      <c r="D959" s="4">
        <v>274</v>
      </c>
      <c r="E959" s="5">
        <v>3.87</v>
      </c>
      <c r="F959" s="4">
        <v>75</v>
      </c>
      <c r="G959" s="5">
        <v>0.98</v>
      </c>
      <c r="H959" s="4">
        <v>0</v>
      </c>
    </row>
    <row r="960" spans="1:8" x14ac:dyDescent="0.2">
      <c r="A960" s="2" t="s">
        <v>88</v>
      </c>
      <c r="B960" s="4">
        <v>688</v>
      </c>
      <c r="C960" s="5">
        <v>4.67</v>
      </c>
      <c r="D960" s="4">
        <v>395</v>
      </c>
      <c r="E960" s="5">
        <v>5.58</v>
      </c>
      <c r="F960" s="4">
        <v>291</v>
      </c>
      <c r="G960" s="5">
        <v>3.8</v>
      </c>
      <c r="H960" s="4">
        <v>0</v>
      </c>
    </row>
    <row r="961" spans="1:8" x14ac:dyDescent="0.2">
      <c r="A961" s="2" t="s">
        <v>89</v>
      </c>
      <c r="B961" s="4">
        <v>368</v>
      </c>
      <c r="C961" s="5">
        <v>2.5</v>
      </c>
      <c r="D961" s="4">
        <v>156</v>
      </c>
      <c r="E961" s="5">
        <v>2.21</v>
      </c>
      <c r="F961" s="4">
        <v>211</v>
      </c>
      <c r="G961" s="5">
        <v>2.76</v>
      </c>
      <c r="H961" s="4">
        <v>1</v>
      </c>
    </row>
    <row r="962" spans="1:8" x14ac:dyDescent="0.2">
      <c r="A962" s="1" t="s">
        <v>60</v>
      </c>
      <c r="B962" s="4">
        <v>1091</v>
      </c>
      <c r="C962" s="5">
        <v>99.99</v>
      </c>
      <c r="D962" s="4">
        <v>618</v>
      </c>
      <c r="E962" s="5">
        <v>99.97999999999999</v>
      </c>
      <c r="F962" s="4">
        <v>458</v>
      </c>
      <c r="G962" s="5">
        <v>100.01</v>
      </c>
      <c r="H962" s="4">
        <v>2</v>
      </c>
    </row>
    <row r="963" spans="1:8" x14ac:dyDescent="0.2">
      <c r="A963" s="2" t="s">
        <v>75</v>
      </c>
      <c r="B963" s="4">
        <v>0</v>
      </c>
      <c r="C963" s="5">
        <v>0</v>
      </c>
      <c r="D963" s="4">
        <v>0</v>
      </c>
      <c r="E963" s="5">
        <v>0</v>
      </c>
      <c r="F963" s="4">
        <v>0</v>
      </c>
      <c r="G963" s="5">
        <v>0</v>
      </c>
      <c r="H963" s="4">
        <v>0</v>
      </c>
    </row>
    <row r="964" spans="1:8" x14ac:dyDescent="0.2">
      <c r="A964" s="2" t="s">
        <v>76</v>
      </c>
      <c r="B964" s="4">
        <v>146</v>
      </c>
      <c r="C964" s="5">
        <v>13.38</v>
      </c>
      <c r="D964" s="4">
        <v>43</v>
      </c>
      <c r="E964" s="5">
        <v>6.96</v>
      </c>
      <c r="F964" s="4">
        <v>103</v>
      </c>
      <c r="G964" s="5">
        <v>22.49</v>
      </c>
      <c r="H964" s="4">
        <v>0</v>
      </c>
    </row>
    <row r="965" spans="1:8" x14ac:dyDescent="0.2">
      <c r="A965" s="2" t="s">
        <v>77</v>
      </c>
      <c r="B965" s="4">
        <v>131</v>
      </c>
      <c r="C965" s="5">
        <v>12.01</v>
      </c>
      <c r="D965" s="4">
        <v>54</v>
      </c>
      <c r="E965" s="5">
        <v>8.74</v>
      </c>
      <c r="F965" s="4">
        <v>77</v>
      </c>
      <c r="G965" s="5">
        <v>16.809999999999999</v>
      </c>
      <c r="H965" s="4">
        <v>0</v>
      </c>
    </row>
    <row r="966" spans="1:8" x14ac:dyDescent="0.2">
      <c r="A966" s="2" t="s">
        <v>78</v>
      </c>
      <c r="B966" s="4">
        <v>3</v>
      </c>
      <c r="C966" s="5">
        <v>0.27</v>
      </c>
      <c r="D966" s="4">
        <v>0</v>
      </c>
      <c r="E966" s="5">
        <v>0</v>
      </c>
      <c r="F966" s="4">
        <v>3</v>
      </c>
      <c r="G966" s="5">
        <v>0.66</v>
      </c>
      <c r="H966" s="4">
        <v>0</v>
      </c>
    </row>
    <row r="967" spans="1:8" x14ac:dyDescent="0.2">
      <c r="A967" s="2" t="s">
        <v>79</v>
      </c>
      <c r="B967" s="4">
        <v>5</v>
      </c>
      <c r="C967" s="5">
        <v>0.46</v>
      </c>
      <c r="D967" s="4">
        <v>0</v>
      </c>
      <c r="E967" s="5">
        <v>0</v>
      </c>
      <c r="F967" s="4">
        <v>5</v>
      </c>
      <c r="G967" s="5">
        <v>1.0900000000000001</v>
      </c>
      <c r="H967" s="4">
        <v>0</v>
      </c>
    </row>
    <row r="968" spans="1:8" x14ac:dyDescent="0.2">
      <c r="A968" s="2" t="s">
        <v>80</v>
      </c>
      <c r="B968" s="4">
        <v>30</v>
      </c>
      <c r="C968" s="5">
        <v>2.75</v>
      </c>
      <c r="D968" s="4">
        <v>0</v>
      </c>
      <c r="E968" s="5">
        <v>0</v>
      </c>
      <c r="F968" s="4">
        <v>30</v>
      </c>
      <c r="G968" s="5">
        <v>6.55</v>
      </c>
      <c r="H968" s="4">
        <v>0</v>
      </c>
    </row>
    <row r="969" spans="1:8" x14ac:dyDescent="0.2">
      <c r="A969" s="2" t="s">
        <v>81</v>
      </c>
      <c r="B969" s="4">
        <v>261</v>
      </c>
      <c r="C969" s="5">
        <v>23.92</v>
      </c>
      <c r="D969" s="4">
        <v>157</v>
      </c>
      <c r="E969" s="5">
        <v>25.4</v>
      </c>
      <c r="F969" s="4">
        <v>104</v>
      </c>
      <c r="G969" s="5">
        <v>22.71</v>
      </c>
      <c r="H969" s="4">
        <v>0</v>
      </c>
    </row>
    <row r="970" spans="1:8" x14ac:dyDescent="0.2">
      <c r="A970" s="2" t="s">
        <v>82</v>
      </c>
      <c r="B970" s="4">
        <v>5</v>
      </c>
      <c r="C970" s="5">
        <v>0.46</v>
      </c>
      <c r="D970" s="4">
        <v>2</v>
      </c>
      <c r="E970" s="5">
        <v>0.32</v>
      </c>
      <c r="F970" s="4">
        <v>3</v>
      </c>
      <c r="G970" s="5">
        <v>0.66</v>
      </c>
      <c r="H970" s="4">
        <v>0</v>
      </c>
    </row>
    <row r="971" spans="1:8" x14ac:dyDescent="0.2">
      <c r="A971" s="2" t="s">
        <v>83</v>
      </c>
      <c r="B971" s="4">
        <v>115</v>
      </c>
      <c r="C971" s="5">
        <v>10.54</v>
      </c>
      <c r="D971" s="4">
        <v>63</v>
      </c>
      <c r="E971" s="5">
        <v>10.19</v>
      </c>
      <c r="F971" s="4">
        <v>51</v>
      </c>
      <c r="G971" s="5">
        <v>11.14</v>
      </c>
      <c r="H971" s="4">
        <v>1</v>
      </c>
    </row>
    <row r="972" spans="1:8" x14ac:dyDescent="0.2">
      <c r="A972" s="2" t="s">
        <v>84</v>
      </c>
      <c r="B972" s="4">
        <v>29</v>
      </c>
      <c r="C972" s="5">
        <v>2.66</v>
      </c>
      <c r="D972" s="4">
        <v>19</v>
      </c>
      <c r="E972" s="5">
        <v>3.07</v>
      </c>
      <c r="F972" s="4">
        <v>10</v>
      </c>
      <c r="G972" s="5">
        <v>2.1800000000000002</v>
      </c>
      <c r="H972" s="4">
        <v>0</v>
      </c>
    </row>
    <row r="973" spans="1:8" x14ac:dyDescent="0.2">
      <c r="A973" s="2" t="s">
        <v>85</v>
      </c>
      <c r="B973" s="4">
        <v>92</v>
      </c>
      <c r="C973" s="5">
        <v>8.43</v>
      </c>
      <c r="D973" s="4">
        <v>82</v>
      </c>
      <c r="E973" s="5">
        <v>13.27</v>
      </c>
      <c r="F973" s="4">
        <v>10</v>
      </c>
      <c r="G973" s="5">
        <v>2.1800000000000002</v>
      </c>
      <c r="H973" s="4">
        <v>0</v>
      </c>
    </row>
    <row r="974" spans="1:8" x14ac:dyDescent="0.2">
      <c r="A974" s="2" t="s">
        <v>86</v>
      </c>
      <c r="B974" s="4">
        <v>128</v>
      </c>
      <c r="C974" s="5">
        <v>11.73</v>
      </c>
      <c r="D974" s="4">
        <v>111</v>
      </c>
      <c r="E974" s="5">
        <v>17.96</v>
      </c>
      <c r="F974" s="4">
        <v>17</v>
      </c>
      <c r="G974" s="5">
        <v>3.71</v>
      </c>
      <c r="H974" s="4">
        <v>0</v>
      </c>
    </row>
    <row r="975" spans="1:8" x14ac:dyDescent="0.2">
      <c r="A975" s="2" t="s">
        <v>87</v>
      </c>
      <c r="B975" s="4">
        <v>44</v>
      </c>
      <c r="C975" s="5">
        <v>4.03</v>
      </c>
      <c r="D975" s="4">
        <v>34</v>
      </c>
      <c r="E975" s="5">
        <v>5.5</v>
      </c>
      <c r="F975" s="4">
        <v>6</v>
      </c>
      <c r="G975" s="5">
        <v>1.31</v>
      </c>
      <c r="H975" s="4">
        <v>0</v>
      </c>
    </row>
    <row r="976" spans="1:8" x14ac:dyDescent="0.2">
      <c r="A976" s="2" t="s">
        <v>88</v>
      </c>
      <c r="B976" s="4">
        <v>67</v>
      </c>
      <c r="C976" s="5">
        <v>6.14</v>
      </c>
      <c r="D976" s="4">
        <v>35</v>
      </c>
      <c r="E976" s="5">
        <v>5.66</v>
      </c>
      <c r="F976" s="4">
        <v>24</v>
      </c>
      <c r="G976" s="5">
        <v>5.24</v>
      </c>
      <c r="H976" s="4">
        <v>0</v>
      </c>
    </row>
    <row r="977" spans="1:8" x14ac:dyDescent="0.2">
      <c r="A977" s="2" t="s">
        <v>89</v>
      </c>
      <c r="B977" s="4">
        <v>35</v>
      </c>
      <c r="C977" s="5">
        <v>3.21</v>
      </c>
      <c r="D977" s="4">
        <v>18</v>
      </c>
      <c r="E977" s="5">
        <v>2.91</v>
      </c>
      <c r="F977" s="4">
        <v>15</v>
      </c>
      <c r="G977" s="5">
        <v>3.28</v>
      </c>
      <c r="H977" s="4">
        <v>1</v>
      </c>
    </row>
    <row r="978" spans="1:8" x14ac:dyDescent="0.2">
      <c r="A978" s="1" t="s">
        <v>61</v>
      </c>
      <c r="B978" s="4">
        <v>1140</v>
      </c>
      <c r="C978" s="5">
        <v>100.02</v>
      </c>
      <c r="D978" s="4">
        <v>629</v>
      </c>
      <c r="E978" s="5">
        <v>100</v>
      </c>
      <c r="F978" s="4">
        <v>505</v>
      </c>
      <c r="G978" s="5">
        <v>100.00999999999999</v>
      </c>
      <c r="H978" s="4">
        <v>2</v>
      </c>
    </row>
    <row r="979" spans="1:8" x14ac:dyDescent="0.2">
      <c r="A979" s="2" t="s">
        <v>75</v>
      </c>
      <c r="B979" s="4">
        <v>0</v>
      </c>
      <c r="C979" s="5">
        <v>0</v>
      </c>
      <c r="D979" s="4">
        <v>0</v>
      </c>
      <c r="E979" s="5">
        <v>0</v>
      </c>
      <c r="F979" s="4">
        <v>0</v>
      </c>
      <c r="G979" s="5">
        <v>0</v>
      </c>
      <c r="H979" s="4">
        <v>0</v>
      </c>
    </row>
    <row r="980" spans="1:8" x14ac:dyDescent="0.2">
      <c r="A980" s="2" t="s">
        <v>76</v>
      </c>
      <c r="B980" s="4">
        <v>158</v>
      </c>
      <c r="C980" s="5">
        <v>13.86</v>
      </c>
      <c r="D980" s="4">
        <v>35</v>
      </c>
      <c r="E980" s="5">
        <v>5.56</v>
      </c>
      <c r="F980" s="4">
        <v>123</v>
      </c>
      <c r="G980" s="5">
        <v>24.36</v>
      </c>
      <c r="H980" s="4">
        <v>0</v>
      </c>
    </row>
    <row r="981" spans="1:8" x14ac:dyDescent="0.2">
      <c r="A981" s="2" t="s">
        <v>77</v>
      </c>
      <c r="B981" s="4">
        <v>80</v>
      </c>
      <c r="C981" s="5">
        <v>7.02</v>
      </c>
      <c r="D981" s="4">
        <v>33</v>
      </c>
      <c r="E981" s="5">
        <v>5.25</v>
      </c>
      <c r="F981" s="4">
        <v>47</v>
      </c>
      <c r="G981" s="5">
        <v>9.31</v>
      </c>
      <c r="H981" s="4">
        <v>0</v>
      </c>
    </row>
    <row r="982" spans="1:8" x14ac:dyDescent="0.2">
      <c r="A982" s="2" t="s">
        <v>78</v>
      </c>
      <c r="B982" s="4">
        <v>3</v>
      </c>
      <c r="C982" s="5">
        <v>0.26</v>
      </c>
      <c r="D982" s="4">
        <v>0</v>
      </c>
      <c r="E982" s="5">
        <v>0</v>
      </c>
      <c r="F982" s="4">
        <v>2</v>
      </c>
      <c r="G982" s="5">
        <v>0.4</v>
      </c>
      <c r="H982" s="4">
        <v>0</v>
      </c>
    </row>
    <row r="983" spans="1:8" x14ac:dyDescent="0.2">
      <c r="A983" s="2" t="s">
        <v>79</v>
      </c>
      <c r="B983" s="4">
        <v>8</v>
      </c>
      <c r="C983" s="5">
        <v>0.7</v>
      </c>
      <c r="D983" s="4">
        <v>1</v>
      </c>
      <c r="E983" s="5">
        <v>0.16</v>
      </c>
      <c r="F983" s="4">
        <v>7</v>
      </c>
      <c r="G983" s="5">
        <v>1.39</v>
      </c>
      <c r="H983" s="4">
        <v>0</v>
      </c>
    </row>
    <row r="984" spans="1:8" x14ac:dyDescent="0.2">
      <c r="A984" s="2" t="s">
        <v>80</v>
      </c>
      <c r="B984" s="4">
        <v>14</v>
      </c>
      <c r="C984" s="5">
        <v>1.23</v>
      </c>
      <c r="D984" s="4">
        <v>5</v>
      </c>
      <c r="E984" s="5">
        <v>0.79</v>
      </c>
      <c r="F984" s="4">
        <v>9</v>
      </c>
      <c r="G984" s="5">
        <v>1.78</v>
      </c>
      <c r="H984" s="4">
        <v>0</v>
      </c>
    </row>
    <row r="985" spans="1:8" x14ac:dyDescent="0.2">
      <c r="A985" s="2" t="s">
        <v>81</v>
      </c>
      <c r="B985" s="4">
        <v>215</v>
      </c>
      <c r="C985" s="5">
        <v>18.86</v>
      </c>
      <c r="D985" s="4">
        <v>101</v>
      </c>
      <c r="E985" s="5">
        <v>16.059999999999999</v>
      </c>
      <c r="F985" s="4">
        <v>114</v>
      </c>
      <c r="G985" s="5">
        <v>22.57</v>
      </c>
      <c r="H985" s="4">
        <v>0</v>
      </c>
    </row>
    <row r="986" spans="1:8" x14ac:dyDescent="0.2">
      <c r="A986" s="2" t="s">
        <v>82</v>
      </c>
      <c r="B986" s="4">
        <v>2</v>
      </c>
      <c r="C986" s="5">
        <v>0.18</v>
      </c>
      <c r="D986" s="4">
        <v>0</v>
      </c>
      <c r="E986" s="5">
        <v>0</v>
      </c>
      <c r="F986" s="4">
        <v>2</v>
      </c>
      <c r="G986" s="5">
        <v>0.4</v>
      </c>
      <c r="H986" s="4">
        <v>0</v>
      </c>
    </row>
    <row r="987" spans="1:8" x14ac:dyDescent="0.2">
      <c r="A987" s="2" t="s">
        <v>83</v>
      </c>
      <c r="B987" s="4">
        <v>229</v>
      </c>
      <c r="C987" s="5">
        <v>20.09</v>
      </c>
      <c r="D987" s="4">
        <v>144</v>
      </c>
      <c r="E987" s="5">
        <v>22.89</v>
      </c>
      <c r="F987" s="4">
        <v>84</v>
      </c>
      <c r="G987" s="5">
        <v>16.63</v>
      </c>
      <c r="H987" s="4">
        <v>1</v>
      </c>
    </row>
    <row r="988" spans="1:8" x14ac:dyDescent="0.2">
      <c r="A988" s="2" t="s">
        <v>84</v>
      </c>
      <c r="B988" s="4">
        <v>36</v>
      </c>
      <c r="C988" s="5">
        <v>3.16</v>
      </c>
      <c r="D988" s="4">
        <v>19</v>
      </c>
      <c r="E988" s="5">
        <v>3.02</v>
      </c>
      <c r="F988" s="4">
        <v>17</v>
      </c>
      <c r="G988" s="5">
        <v>3.37</v>
      </c>
      <c r="H988" s="4">
        <v>0</v>
      </c>
    </row>
    <row r="989" spans="1:8" x14ac:dyDescent="0.2">
      <c r="A989" s="2" t="s">
        <v>85</v>
      </c>
      <c r="B989" s="4">
        <v>126</v>
      </c>
      <c r="C989" s="5">
        <v>11.05</v>
      </c>
      <c r="D989" s="4">
        <v>116</v>
      </c>
      <c r="E989" s="5">
        <v>18.440000000000001</v>
      </c>
      <c r="F989" s="4">
        <v>9</v>
      </c>
      <c r="G989" s="5">
        <v>1.78</v>
      </c>
      <c r="H989" s="4">
        <v>0</v>
      </c>
    </row>
    <row r="990" spans="1:8" x14ac:dyDescent="0.2">
      <c r="A990" s="2" t="s">
        <v>86</v>
      </c>
      <c r="B990" s="4">
        <v>137</v>
      </c>
      <c r="C990" s="5">
        <v>12.02</v>
      </c>
      <c r="D990" s="4">
        <v>110</v>
      </c>
      <c r="E990" s="5">
        <v>17.489999999999998</v>
      </c>
      <c r="F990" s="4">
        <v>27</v>
      </c>
      <c r="G990" s="5">
        <v>5.35</v>
      </c>
      <c r="H990" s="4">
        <v>0</v>
      </c>
    </row>
    <row r="991" spans="1:8" x14ac:dyDescent="0.2">
      <c r="A991" s="2" t="s">
        <v>87</v>
      </c>
      <c r="B991" s="4">
        <v>50</v>
      </c>
      <c r="C991" s="5">
        <v>4.3899999999999997</v>
      </c>
      <c r="D991" s="4">
        <v>34</v>
      </c>
      <c r="E991" s="5">
        <v>5.41</v>
      </c>
      <c r="F991" s="4">
        <v>15</v>
      </c>
      <c r="G991" s="5">
        <v>2.97</v>
      </c>
      <c r="H991" s="4">
        <v>0</v>
      </c>
    </row>
    <row r="992" spans="1:8" x14ac:dyDescent="0.2">
      <c r="A992" s="2" t="s">
        <v>88</v>
      </c>
      <c r="B992" s="4">
        <v>50</v>
      </c>
      <c r="C992" s="5">
        <v>4.3899999999999997</v>
      </c>
      <c r="D992" s="4">
        <v>20</v>
      </c>
      <c r="E992" s="5">
        <v>3.18</v>
      </c>
      <c r="F992" s="4">
        <v>29</v>
      </c>
      <c r="G992" s="5">
        <v>5.74</v>
      </c>
      <c r="H992" s="4">
        <v>0</v>
      </c>
    </row>
    <row r="993" spans="1:8" x14ac:dyDescent="0.2">
      <c r="A993" s="2" t="s">
        <v>89</v>
      </c>
      <c r="B993" s="4">
        <v>32</v>
      </c>
      <c r="C993" s="5">
        <v>2.81</v>
      </c>
      <c r="D993" s="4">
        <v>11</v>
      </c>
      <c r="E993" s="5">
        <v>1.75</v>
      </c>
      <c r="F993" s="4">
        <v>20</v>
      </c>
      <c r="G993" s="5">
        <v>3.96</v>
      </c>
      <c r="H993" s="4">
        <v>1</v>
      </c>
    </row>
    <row r="994" spans="1:8" x14ac:dyDescent="0.2">
      <c r="A994" s="1" t="s">
        <v>62</v>
      </c>
      <c r="B994" s="4">
        <v>1139</v>
      </c>
      <c r="C994" s="5">
        <v>100</v>
      </c>
      <c r="D994" s="4">
        <v>605</v>
      </c>
      <c r="E994" s="5">
        <v>100.02</v>
      </c>
      <c r="F994" s="4">
        <v>528</v>
      </c>
      <c r="G994" s="5">
        <v>100.01</v>
      </c>
      <c r="H994" s="4">
        <v>2</v>
      </c>
    </row>
    <row r="995" spans="1:8" x14ac:dyDescent="0.2">
      <c r="A995" s="2" t="s">
        <v>75</v>
      </c>
      <c r="B995" s="4">
        <v>0</v>
      </c>
      <c r="C995" s="5">
        <v>0</v>
      </c>
      <c r="D995" s="4">
        <v>0</v>
      </c>
      <c r="E995" s="5">
        <v>0</v>
      </c>
      <c r="F995" s="4">
        <v>0</v>
      </c>
      <c r="G995" s="5">
        <v>0</v>
      </c>
      <c r="H995" s="4">
        <v>0</v>
      </c>
    </row>
    <row r="996" spans="1:8" x14ac:dyDescent="0.2">
      <c r="A996" s="2" t="s">
        <v>76</v>
      </c>
      <c r="B996" s="4">
        <v>180</v>
      </c>
      <c r="C996" s="5">
        <v>15.8</v>
      </c>
      <c r="D996" s="4">
        <v>56</v>
      </c>
      <c r="E996" s="5">
        <v>9.26</v>
      </c>
      <c r="F996" s="4">
        <v>124</v>
      </c>
      <c r="G996" s="5">
        <v>23.48</v>
      </c>
      <c r="H996" s="4">
        <v>0</v>
      </c>
    </row>
    <row r="997" spans="1:8" x14ac:dyDescent="0.2">
      <c r="A997" s="2" t="s">
        <v>77</v>
      </c>
      <c r="B997" s="4">
        <v>89</v>
      </c>
      <c r="C997" s="5">
        <v>7.81</v>
      </c>
      <c r="D997" s="4">
        <v>22</v>
      </c>
      <c r="E997" s="5">
        <v>3.64</v>
      </c>
      <c r="F997" s="4">
        <v>67</v>
      </c>
      <c r="G997" s="5">
        <v>12.69</v>
      </c>
      <c r="H997" s="4">
        <v>0</v>
      </c>
    </row>
    <row r="998" spans="1:8" x14ac:dyDescent="0.2">
      <c r="A998" s="2" t="s">
        <v>78</v>
      </c>
      <c r="B998" s="4">
        <v>2</v>
      </c>
      <c r="C998" s="5">
        <v>0.18</v>
      </c>
      <c r="D998" s="4">
        <v>0</v>
      </c>
      <c r="E998" s="5">
        <v>0</v>
      </c>
      <c r="F998" s="4">
        <v>2</v>
      </c>
      <c r="G998" s="5">
        <v>0.38</v>
      </c>
      <c r="H998" s="4">
        <v>0</v>
      </c>
    </row>
    <row r="999" spans="1:8" x14ac:dyDescent="0.2">
      <c r="A999" s="2" t="s">
        <v>79</v>
      </c>
      <c r="B999" s="4">
        <v>13</v>
      </c>
      <c r="C999" s="5">
        <v>1.1399999999999999</v>
      </c>
      <c r="D999" s="4">
        <v>1</v>
      </c>
      <c r="E999" s="5">
        <v>0.17</v>
      </c>
      <c r="F999" s="4">
        <v>12</v>
      </c>
      <c r="G999" s="5">
        <v>2.27</v>
      </c>
      <c r="H999" s="4">
        <v>0</v>
      </c>
    </row>
    <row r="1000" spans="1:8" x14ac:dyDescent="0.2">
      <c r="A1000" s="2" t="s">
        <v>80</v>
      </c>
      <c r="B1000" s="4">
        <v>13</v>
      </c>
      <c r="C1000" s="5">
        <v>1.1399999999999999</v>
      </c>
      <c r="D1000" s="4">
        <v>3</v>
      </c>
      <c r="E1000" s="5">
        <v>0.5</v>
      </c>
      <c r="F1000" s="4">
        <v>10</v>
      </c>
      <c r="G1000" s="5">
        <v>1.89</v>
      </c>
      <c r="H1000" s="4">
        <v>0</v>
      </c>
    </row>
    <row r="1001" spans="1:8" x14ac:dyDescent="0.2">
      <c r="A1001" s="2" t="s">
        <v>81</v>
      </c>
      <c r="B1001" s="4">
        <v>219</v>
      </c>
      <c r="C1001" s="5">
        <v>19.23</v>
      </c>
      <c r="D1001" s="4">
        <v>130</v>
      </c>
      <c r="E1001" s="5">
        <v>21.49</v>
      </c>
      <c r="F1001" s="4">
        <v>89</v>
      </c>
      <c r="G1001" s="5">
        <v>16.86</v>
      </c>
      <c r="H1001" s="4">
        <v>0</v>
      </c>
    </row>
    <row r="1002" spans="1:8" x14ac:dyDescent="0.2">
      <c r="A1002" s="2" t="s">
        <v>82</v>
      </c>
      <c r="B1002" s="4">
        <v>6</v>
      </c>
      <c r="C1002" s="5">
        <v>0.53</v>
      </c>
      <c r="D1002" s="4">
        <v>0</v>
      </c>
      <c r="E1002" s="5">
        <v>0</v>
      </c>
      <c r="F1002" s="4">
        <v>6</v>
      </c>
      <c r="G1002" s="5">
        <v>1.1399999999999999</v>
      </c>
      <c r="H1002" s="4">
        <v>0</v>
      </c>
    </row>
    <row r="1003" spans="1:8" x14ac:dyDescent="0.2">
      <c r="A1003" s="2" t="s">
        <v>83</v>
      </c>
      <c r="B1003" s="4">
        <v>113</v>
      </c>
      <c r="C1003" s="5">
        <v>9.92</v>
      </c>
      <c r="D1003" s="4">
        <v>26</v>
      </c>
      <c r="E1003" s="5">
        <v>4.3</v>
      </c>
      <c r="F1003" s="4">
        <v>87</v>
      </c>
      <c r="G1003" s="5">
        <v>16.48</v>
      </c>
      <c r="H1003" s="4">
        <v>0</v>
      </c>
    </row>
    <row r="1004" spans="1:8" x14ac:dyDescent="0.2">
      <c r="A1004" s="2" t="s">
        <v>84</v>
      </c>
      <c r="B1004" s="4">
        <v>67</v>
      </c>
      <c r="C1004" s="5">
        <v>5.88</v>
      </c>
      <c r="D1004" s="4">
        <v>39</v>
      </c>
      <c r="E1004" s="5">
        <v>6.45</v>
      </c>
      <c r="F1004" s="4">
        <v>28</v>
      </c>
      <c r="G1004" s="5">
        <v>5.3</v>
      </c>
      <c r="H1004" s="4">
        <v>0</v>
      </c>
    </row>
    <row r="1005" spans="1:8" x14ac:dyDescent="0.2">
      <c r="A1005" s="2" t="s">
        <v>85</v>
      </c>
      <c r="B1005" s="4">
        <v>106</v>
      </c>
      <c r="C1005" s="5">
        <v>9.31</v>
      </c>
      <c r="D1005" s="4">
        <v>85</v>
      </c>
      <c r="E1005" s="5">
        <v>14.05</v>
      </c>
      <c r="F1005" s="4">
        <v>21</v>
      </c>
      <c r="G1005" s="5">
        <v>3.98</v>
      </c>
      <c r="H1005" s="4">
        <v>0</v>
      </c>
    </row>
    <row r="1006" spans="1:8" x14ac:dyDescent="0.2">
      <c r="A1006" s="2" t="s">
        <v>86</v>
      </c>
      <c r="B1006" s="4">
        <v>126</v>
      </c>
      <c r="C1006" s="5">
        <v>11.06</v>
      </c>
      <c r="D1006" s="4">
        <v>104</v>
      </c>
      <c r="E1006" s="5">
        <v>17.190000000000001</v>
      </c>
      <c r="F1006" s="4">
        <v>22</v>
      </c>
      <c r="G1006" s="5">
        <v>4.17</v>
      </c>
      <c r="H1006" s="4">
        <v>0</v>
      </c>
    </row>
    <row r="1007" spans="1:8" x14ac:dyDescent="0.2">
      <c r="A1007" s="2" t="s">
        <v>87</v>
      </c>
      <c r="B1007" s="4">
        <v>87</v>
      </c>
      <c r="C1007" s="5">
        <v>7.64</v>
      </c>
      <c r="D1007" s="4">
        <v>65</v>
      </c>
      <c r="E1007" s="5">
        <v>10.74</v>
      </c>
      <c r="F1007" s="4">
        <v>19</v>
      </c>
      <c r="G1007" s="5">
        <v>3.6</v>
      </c>
      <c r="H1007" s="4">
        <v>0</v>
      </c>
    </row>
    <row r="1008" spans="1:8" x14ac:dyDescent="0.2">
      <c r="A1008" s="2" t="s">
        <v>88</v>
      </c>
      <c r="B1008" s="4">
        <v>77</v>
      </c>
      <c r="C1008" s="5">
        <v>6.76</v>
      </c>
      <c r="D1008" s="4">
        <v>55</v>
      </c>
      <c r="E1008" s="5">
        <v>9.09</v>
      </c>
      <c r="F1008" s="4">
        <v>22</v>
      </c>
      <c r="G1008" s="5">
        <v>4.17</v>
      </c>
      <c r="H1008" s="4">
        <v>0</v>
      </c>
    </row>
    <row r="1009" spans="1:8" x14ac:dyDescent="0.2">
      <c r="A1009" s="2" t="s">
        <v>89</v>
      </c>
      <c r="B1009" s="4">
        <v>41</v>
      </c>
      <c r="C1009" s="5">
        <v>3.6</v>
      </c>
      <c r="D1009" s="4">
        <v>19</v>
      </c>
      <c r="E1009" s="5">
        <v>3.14</v>
      </c>
      <c r="F1009" s="4">
        <v>19</v>
      </c>
      <c r="G1009" s="5">
        <v>3.6</v>
      </c>
      <c r="H1009" s="4">
        <v>2</v>
      </c>
    </row>
    <row r="1010" spans="1:8" x14ac:dyDescent="0.2">
      <c r="A1010" s="1" t="s">
        <v>63</v>
      </c>
      <c r="B1010" s="4">
        <v>1056</v>
      </c>
      <c r="C1010" s="5">
        <v>100.01</v>
      </c>
      <c r="D1010" s="4">
        <v>567</v>
      </c>
      <c r="E1010" s="5">
        <v>99.99</v>
      </c>
      <c r="F1010" s="4">
        <v>486</v>
      </c>
      <c r="G1010" s="5">
        <v>99.999999999999986</v>
      </c>
      <c r="H1010" s="4">
        <v>0</v>
      </c>
    </row>
    <row r="1011" spans="1:8" x14ac:dyDescent="0.2">
      <c r="A1011" s="2" t="s">
        <v>75</v>
      </c>
      <c r="B1011" s="4">
        <v>0</v>
      </c>
      <c r="C1011" s="5">
        <v>0</v>
      </c>
      <c r="D1011" s="4">
        <v>0</v>
      </c>
      <c r="E1011" s="5">
        <v>0</v>
      </c>
      <c r="F1011" s="4">
        <v>0</v>
      </c>
      <c r="G1011" s="5">
        <v>0</v>
      </c>
      <c r="H1011" s="4">
        <v>0</v>
      </c>
    </row>
    <row r="1012" spans="1:8" x14ac:dyDescent="0.2">
      <c r="A1012" s="2" t="s">
        <v>76</v>
      </c>
      <c r="B1012" s="4">
        <v>123</v>
      </c>
      <c r="C1012" s="5">
        <v>11.65</v>
      </c>
      <c r="D1012" s="4">
        <v>30</v>
      </c>
      <c r="E1012" s="5">
        <v>5.29</v>
      </c>
      <c r="F1012" s="4">
        <v>93</v>
      </c>
      <c r="G1012" s="5">
        <v>19.14</v>
      </c>
      <c r="H1012" s="4">
        <v>0</v>
      </c>
    </row>
    <row r="1013" spans="1:8" x14ac:dyDescent="0.2">
      <c r="A1013" s="2" t="s">
        <v>77</v>
      </c>
      <c r="B1013" s="4">
        <v>90</v>
      </c>
      <c r="C1013" s="5">
        <v>8.52</v>
      </c>
      <c r="D1013" s="4">
        <v>40</v>
      </c>
      <c r="E1013" s="5">
        <v>7.05</v>
      </c>
      <c r="F1013" s="4">
        <v>50</v>
      </c>
      <c r="G1013" s="5">
        <v>10.29</v>
      </c>
      <c r="H1013" s="4">
        <v>0</v>
      </c>
    </row>
    <row r="1014" spans="1:8" x14ac:dyDescent="0.2">
      <c r="A1014" s="2" t="s">
        <v>78</v>
      </c>
      <c r="B1014" s="4">
        <v>0</v>
      </c>
      <c r="C1014" s="5">
        <v>0</v>
      </c>
      <c r="D1014" s="4">
        <v>0</v>
      </c>
      <c r="E1014" s="5">
        <v>0</v>
      </c>
      <c r="F1014" s="4">
        <v>0</v>
      </c>
      <c r="G1014" s="5">
        <v>0</v>
      </c>
      <c r="H1014" s="4">
        <v>0</v>
      </c>
    </row>
    <row r="1015" spans="1:8" x14ac:dyDescent="0.2">
      <c r="A1015" s="2" t="s">
        <v>79</v>
      </c>
      <c r="B1015" s="4">
        <v>2</v>
      </c>
      <c r="C1015" s="5">
        <v>0.19</v>
      </c>
      <c r="D1015" s="4">
        <v>1</v>
      </c>
      <c r="E1015" s="5">
        <v>0.18</v>
      </c>
      <c r="F1015" s="4">
        <v>1</v>
      </c>
      <c r="G1015" s="5">
        <v>0.21</v>
      </c>
      <c r="H1015" s="4">
        <v>0</v>
      </c>
    </row>
    <row r="1016" spans="1:8" x14ac:dyDescent="0.2">
      <c r="A1016" s="2" t="s">
        <v>80</v>
      </c>
      <c r="B1016" s="4">
        <v>9</v>
      </c>
      <c r="C1016" s="5">
        <v>0.85</v>
      </c>
      <c r="D1016" s="4">
        <v>2</v>
      </c>
      <c r="E1016" s="5">
        <v>0.35</v>
      </c>
      <c r="F1016" s="4">
        <v>7</v>
      </c>
      <c r="G1016" s="5">
        <v>1.44</v>
      </c>
      <c r="H1016" s="4">
        <v>0</v>
      </c>
    </row>
    <row r="1017" spans="1:8" x14ac:dyDescent="0.2">
      <c r="A1017" s="2" t="s">
        <v>81</v>
      </c>
      <c r="B1017" s="4">
        <v>212</v>
      </c>
      <c r="C1017" s="5">
        <v>20.079999999999998</v>
      </c>
      <c r="D1017" s="4">
        <v>107</v>
      </c>
      <c r="E1017" s="5">
        <v>18.87</v>
      </c>
      <c r="F1017" s="4">
        <v>105</v>
      </c>
      <c r="G1017" s="5">
        <v>21.6</v>
      </c>
      <c r="H1017" s="4">
        <v>0</v>
      </c>
    </row>
    <row r="1018" spans="1:8" x14ac:dyDescent="0.2">
      <c r="A1018" s="2" t="s">
        <v>82</v>
      </c>
      <c r="B1018" s="4">
        <v>3</v>
      </c>
      <c r="C1018" s="5">
        <v>0.28000000000000003</v>
      </c>
      <c r="D1018" s="4">
        <v>1</v>
      </c>
      <c r="E1018" s="5">
        <v>0.18</v>
      </c>
      <c r="F1018" s="4">
        <v>2</v>
      </c>
      <c r="G1018" s="5">
        <v>0.41</v>
      </c>
      <c r="H1018" s="4">
        <v>0</v>
      </c>
    </row>
    <row r="1019" spans="1:8" x14ac:dyDescent="0.2">
      <c r="A1019" s="2" t="s">
        <v>83</v>
      </c>
      <c r="B1019" s="4">
        <v>159</v>
      </c>
      <c r="C1019" s="5">
        <v>15.06</v>
      </c>
      <c r="D1019" s="4">
        <v>54</v>
      </c>
      <c r="E1019" s="5">
        <v>9.52</v>
      </c>
      <c r="F1019" s="4">
        <v>105</v>
      </c>
      <c r="G1019" s="5">
        <v>21.6</v>
      </c>
      <c r="H1019" s="4">
        <v>0</v>
      </c>
    </row>
    <row r="1020" spans="1:8" x14ac:dyDescent="0.2">
      <c r="A1020" s="2" t="s">
        <v>84</v>
      </c>
      <c r="B1020" s="4">
        <v>46</v>
      </c>
      <c r="C1020" s="5">
        <v>4.3600000000000003</v>
      </c>
      <c r="D1020" s="4">
        <v>22</v>
      </c>
      <c r="E1020" s="5">
        <v>3.88</v>
      </c>
      <c r="F1020" s="4">
        <v>24</v>
      </c>
      <c r="G1020" s="5">
        <v>4.9400000000000004</v>
      </c>
      <c r="H1020" s="4">
        <v>0</v>
      </c>
    </row>
    <row r="1021" spans="1:8" x14ac:dyDescent="0.2">
      <c r="A1021" s="2" t="s">
        <v>85</v>
      </c>
      <c r="B1021" s="4">
        <v>96</v>
      </c>
      <c r="C1021" s="5">
        <v>9.09</v>
      </c>
      <c r="D1021" s="4">
        <v>87</v>
      </c>
      <c r="E1021" s="5">
        <v>15.34</v>
      </c>
      <c r="F1021" s="4">
        <v>9</v>
      </c>
      <c r="G1021" s="5">
        <v>1.85</v>
      </c>
      <c r="H1021" s="4">
        <v>0</v>
      </c>
    </row>
    <row r="1022" spans="1:8" x14ac:dyDescent="0.2">
      <c r="A1022" s="2" t="s">
        <v>86</v>
      </c>
      <c r="B1022" s="4">
        <v>139</v>
      </c>
      <c r="C1022" s="5">
        <v>13.16</v>
      </c>
      <c r="D1022" s="4">
        <v>105</v>
      </c>
      <c r="E1022" s="5">
        <v>18.52</v>
      </c>
      <c r="F1022" s="4">
        <v>34</v>
      </c>
      <c r="G1022" s="5">
        <v>7</v>
      </c>
      <c r="H1022" s="4">
        <v>0</v>
      </c>
    </row>
    <row r="1023" spans="1:8" x14ac:dyDescent="0.2">
      <c r="A1023" s="2" t="s">
        <v>87</v>
      </c>
      <c r="B1023" s="4">
        <v>61</v>
      </c>
      <c r="C1023" s="5">
        <v>5.78</v>
      </c>
      <c r="D1023" s="4">
        <v>46</v>
      </c>
      <c r="E1023" s="5">
        <v>8.11</v>
      </c>
      <c r="F1023" s="4">
        <v>12</v>
      </c>
      <c r="G1023" s="5">
        <v>2.4700000000000002</v>
      </c>
      <c r="H1023" s="4">
        <v>0</v>
      </c>
    </row>
    <row r="1024" spans="1:8" x14ac:dyDescent="0.2">
      <c r="A1024" s="2" t="s">
        <v>88</v>
      </c>
      <c r="B1024" s="4">
        <v>82</v>
      </c>
      <c r="C1024" s="5">
        <v>7.77</v>
      </c>
      <c r="D1024" s="4">
        <v>52</v>
      </c>
      <c r="E1024" s="5">
        <v>9.17</v>
      </c>
      <c r="F1024" s="4">
        <v>30</v>
      </c>
      <c r="G1024" s="5">
        <v>6.17</v>
      </c>
      <c r="H1024" s="4">
        <v>0</v>
      </c>
    </row>
    <row r="1025" spans="1:8" x14ac:dyDescent="0.2">
      <c r="A1025" s="2" t="s">
        <v>89</v>
      </c>
      <c r="B1025" s="4">
        <v>34</v>
      </c>
      <c r="C1025" s="5">
        <v>3.22</v>
      </c>
      <c r="D1025" s="4">
        <v>20</v>
      </c>
      <c r="E1025" s="5">
        <v>3.53</v>
      </c>
      <c r="F1025" s="4">
        <v>14</v>
      </c>
      <c r="G1025" s="5">
        <v>2.88</v>
      </c>
      <c r="H1025" s="4">
        <v>0</v>
      </c>
    </row>
    <row r="1026" spans="1:8" x14ac:dyDescent="0.2">
      <c r="A1026" s="1" t="s">
        <v>64</v>
      </c>
      <c r="B1026" s="4">
        <v>923</v>
      </c>
      <c r="C1026" s="5">
        <v>100.02</v>
      </c>
      <c r="D1026" s="4">
        <v>561</v>
      </c>
      <c r="E1026" s="5">
        <v>100.01</v>
      </c>
      <c r="F1026" s="4">
        <v>360</v>
      </c>
      <c r="G1026" s="5">
        <v>100</v>
      </c>
      <c r="H1026" s="4">
        <v>0</v>
      </c>
    </row>
    <row r="1027" spans="1:8" x14ac:dyDescent="0.2">
      <c r="A1027" s="2" t="s">
        <v>75</v>
      </c>
      <c r="B1027" s="4">
        <v>1</v>
      </c>
      <c r="C1027" s="5">
        <v>0.11</v>
      </c>
      <c r="D1027" s="4">
        <v>0</v>
      </c>
      <c r="E1027" s="5">
        <v>0</v>
      </c>
      <c r="F1027" s="4">
        <v>1</v>
      </c>
      <c r="G1027" s="5">
        <v>0.28000000000000003</v>
      </c>
      <c r="H1027" s="4">
        <v>0</v>
      </c>
    </row>
    <row r="1028" spans="1:8" x14ac:dyDescent="0.2">
      <c r="A1028" s="2" t="s">
        <v>76</v>
      </c>
      <c r="B1028" s="4">
        <v>151</v>
      </c>
      <c r="C1028" s="5">
        <v>16.36</v>
      </c>
      <c r="D1028" s="4">
        <v>46</v>
      </c>
      <c r="E1028" s="5">
        <v>8.1999999999999993</v>
      </c>
      <c r="F1028" s="4">
        <v>105</v>
      </c>
      <c r="G1028" s="5">
        <v>29.17</v>
      </c>
      <c r="H1028" s="4">
        <v>0</v>
      </c>
    </row>
    <row r="1029" spans="1:8" x14ac:dyDescent="0.2">
      <c r="A1029" s="2" t="s">
        <v>77</v>
      </c>
      <c r="B1029" s="4">
        <v>73</v>
      </c>
      <c r="C1029" s="5">
        <v>7.91</v>
      </c>
      <c r="D1029" s="4">
        <v>35</v>
      </c>
      <c r="E1029" s="5">
        <v>6.24</v>
      </c>
      <c r="F1029" s="4">
        <v>38</v>
      </c>
      <c r="G1029" s="5">
        <v>10.56</v>
      </c>
      <c r="H1029" s="4">
        <v>0</v>
      </c>
    </row>
    <row r="1030" spans="1:8" x14ac:dyDescent="0.2">
      <c r="A1030" s="2" t="s">
        <v>78</v>
      </c>
      <c r="B1030" s="4">
        <v>0</v>
      </c>
      <c r="C1030" s="5">
        <v>0</v>
      </c>
      <c r="D1030" s="4">
        <v>0</v>
      </c>
      <c r="E1030" s="5">
        <v>0</v>
      </c>
      <c r="F1030" s="4">
        <v>0</v>
      </c>
      <c r="G1030" s="5">
        <v>0</v>
      </c>
      <c r="H1030" s="4">
        <v>0</v>
      </c>
    </row>
    <row r="1031" spans="1:8" x14ac:dyDescent="0.2">
      <c r="A1031" s="2" t="s">
        <v>79</v>
      </c>
      <c r="B1031" s="4">
        <v>9</v>
      </c>
      <c r="C1031" s="5">
        <v>0.98</v>
      </c>
      <c r="D1031" s="4">
        <v>0</v>
      </c>
      <c r="E1031" s="5">
        <v>0</v>
      </c>
      <c r="F1031" s="4">
        <v>9</v>
      </c>
      <c r="G1031" s="5">
        <v>2.5</v>
      </c>
      <c r="H1031" s="4">
        <v>0</v>
      </c>
    </row>
    <row r="1032" spans="1:8" x14ac:dyDescent="0.2">
      <c r="A1032" s="2" t="s">
        <v>80</v>
      </c>
      <c r="B1032" s="4">
        <v>6</v>
      </c>
      <c r="C1032" s="5">
        <v>0.65</v>
      </c>
      <c r="D1032" s="4">
        <v>2</v>
      </c>
      <c r="E1032" s="5">
        <v>0.36</v>
      </c>
      <c r="F1032" s="4">
        <v>4</v>
      </c>
      <c r="G1032" s="5">
        <v>1.1100000000000001</v>
      </c>
      <c r="H1032" s="4">
        <v>0</v>
      </c>
    </row>
    <row r="1033" spans="1:8" x14ac:dyDescent="0.2">
      <c r="A1033" s="2" t="s">
        <v>81</v>
      </c>
      <c r="B1033" s="4">
        <v>204</v>
      </c>
      <c r="C1033" s="5">
        <v>22.1</v>
      </c>
      <c r="D1033" s="4">
        <v>134</v>
      </c>
      <c r="E1033" s="5">
        <v>23.89</v>
      </c>
      <c r="F1033" s="4">
        <v>70</v>
      </c>
      <c r="G1033" s="5">
        <v>19.440000000000001</v>
      </c>
      <c r="H1033" s="4">
        <v>0</v>
      </c>
    </row>
    <row r="1034" spans="1:8" x14ac:dyDescent="0.2">
      <c r="A1034" s="2" t="s">
        <v>82</v>
      </c>
      <c r="B1034" s="4">
        <v>8</v>
      </c>
      <c r="C1034" s="5">
        <v>0.87</v>
      </c>
      <c r="D1034" s="4">
        <v>5</v>
      </c>
      <c r="E1034" s="5">
        <v>0.89</v>
      </c>
      <c r="F1034" s="4">
        <v>3</v>
      </c>
      <c r="G1034" s="5">
        <v>0.83</v>
      </c>
      <c r="H1034" s="4">
        <v>0</v>
      </c>
    </row>
    <row r="1035" spans="1:8" x14ac:dyDescent="0.2">
      <c r="A1035" s="2" t="s">
        <v>83</v>
      </c>
      <c r="B1035" s="4">
        <v>84</v>
      </c>
      <c r="C1035" s="5">
        <v>9.1</v>
      </c>
      <c r="D1035" s="4">
        <v>47</v>
      </c>
      <c r="E1035" s="5">
        <v>8.3800000000000008</v>
      </c>
      <c r="F1035" s="4">
        <v>37</v>
      </c>
      <c r="G1035" s="5">
        <v>10.28</v>
      </c>
      <c r="H1035" s="4">
        <v>0</v>
      </c>
    </row>
    <row r="1036" spans="1:8" x14ac:dyDescent="0.2">
      <c r="A1036" s="2" t="s">
        <v>84</v>
      </c>
      <c r="B1036" s="4">
        <v>48</v>
      </c>
      <c r="C1036" s="5">
        <v>5.2</v>
      </c>
      <c r="D1036" s="4">
        <v>26</v>
      </c>
      <c r="E1036" s="5">
        <v>4.63</v>
      </c>
      <c r="F1036" s="4">
        <v>22</v>
      </c>
      <c r="G1036" s="5">
        <v>6.11</v>
      </c>
      <c r="H1036" s="4">
        <v>0</v>
      </c>
    </row>
    <row r="1037" spans="1:8" x14ac:dyDescent="0.2">
      <c r="A1037" s="2" t="s">
        <v>85</v>
      </c>
      <c r="B1037" s="4">
        <v>77</v>
      </c>
      <c r="C1037" s="5">
        <v>8.34</v>
      </c>
      <c r="D1037" s="4">
        <v>70</v>
      </c>
      <c r="E1037" s="5">
        <v>12.48</v>
      </c>
      <c r="F1037" s="4">
        <v>7</v>
      </c>
      <c r="G1037" s="5">
        <v>1.94</v>
      </c>
      <c r="H1037" s="4">
        <v>0</v>
      </c>
    </row>
    <row r="1038" spans="1:8" x14ac:dyDescent="0.2">
      <c r="A1038" s="2" t="s">
        <v>86</v>
      </c>
      <c r="B1038" s="4">
        <v>129</v>
      </c>
      <c r="C1038" s="5">
        <v>13.98</v>
      </c>
      <c r="D1038" s="4">
        <v>104</v>
      </c>
      <c r="E1038" s="5">
        <v>18.54</v>
      </c>
      <c r="F1038" s="4">
        <v>25</v>
      </c>
      <c r="G1038" s="5">
        <v>6.94</v>
      </c>
      <c r="H1038" s="4">
        <v>0</v>
      </c>
    </row>
    <row r="1039" spans="1:8" x14ac:dyDescent="0.2">
      <c r="A1039" s="2" t="s">
        <v>87</v>
      </c>
      <c r="B1039" s="4">
        <v>43</v>
      </c>
      <c r="C1039" s="5">
        <v>4.66</v>
      </c>
      <c r="D1039" s="4">
        <v>36</v>
      </c>
      <c r="E1039" s="5">
        <v>6.42</v>
      </c>
      <c r="F1039" s="4">
        <v>6</v>
      </c>
      <c r="G1039" s="5">
        <v>1.67</v>
      </c>
      <c r="H1039" s="4">
        <v>0</v>
      </c>
    </row>
    <row r="1040" spans="1:8" x14ac:dyDescent="0.2">
      <c r="A1040" s="2" t="s">
        <v>88</v>
      </c>
      <c r="B1040" s="4">
        <v>57</v>
      </c>
      <c r="C1040" s="5">
        <v>6.18</v>
      </c>
      <c r="D1040" s="4">
        <v>38</v>
      </c>
      <c r="E1040" s="5">
        <v>6.77</v>
      </c>
      <c r="F1040" s="4">
        <v>18</v>
      </c>
      <c r="G1040" s="5">
        <v>5</v>
      </c>
      <c r="H1040" s="4">
        <v>0</v>
      </c>
    </row>
    <row r="1041" spans="1:8" x14ac:dyDescent="0.2">
      <c r="A1041" s="2" t="s">
        <v>89</v>
      </c>
      <c r="B1041" s="4">
        <v>33</v>
      </c>
      <c r="C1041" s="5">
        <v>3.58</v>
      </c>
      <c r="D1041" s="4">
        <v>18</v>
      </c>
      <c r="E1041" s="5">
        <v>3.21</v>
      </c>
      <c r="F1041" s="4">
        <v>15</v>
      </c>
      <c r="G1041" s="5">
        <v>4.17</v>
      </c>
      <c r="H1041" s="4">
        <v>0</v>
      </c>
    </row>
    <row r="1042" spans="1:8" x14ac:dyDescent="0.2">
      <c r="A1042" s="1" t="s">
        <v>65</v>
      </c>
      <c r="B1042" s="4">
        <v>346</v>
      </c>
      <c r="C1042" s="5">
        <v>100.00000000000001</v>
      </c>
      <c r="D1042" s="4">
        <v>173</v>
      </c>
      <c r="E1042" s="5">
        <v>100.01</v>
      </c>
      <c r="F1042" s="4">
        <v>170</v>
      </c>
      <c r="G1042" s="5">
        <v>99.990000000000009</v>
      </c>
      <c r="H1042" s="4">
        <v>1</v>
      </c>
    </row>
    <row r="1043" spans="1:8" x14ac:dyDescent="0.2">
      <c r="A1043" s="2" t="s">
        <v>75</v>
      </c>
      <c r="B1043" s="4">
        <v>0</v>
      </c>
      <c r="C1043" s="5">
        <v>0</v>
      </c>
      <c r="D1043" s="4">
        <v>0</v>
      </c>
      <c r="E1043" s="5">
        <v>0</v>
      </c>
      <c r="F1043" s="4">
        <v>0</v>
      </c>
      <c r="G1043" s="5">
        <v>0</v>
      </c>
      <c r="H1043" s="4">
        <v>0</v>
      </c>
    </row>
    <row r="1044" spans="1:8" x14ac:dyDescent="0.2">
      <c r="A1044" s="2" t="s">
        <v>76</v>
      </c>
      <c r="B1044" s="4">
        <v>47</v>
      </c>
      <c r="C1044" s="5">
        <v>13.58</v>
      </c>
      <c r="D1044" s="4">
        <v>8</v>
      </c>
      <c r="E1044" s="5">
        <v>4.62</v>
      </c>
      <c r="F1044" s="4">
        <v>39</v>
      </c>
      <c r="G1044" s="5">
        <v>22.94</v>
      </c>
      <c r="H1044" s="4">
        <v>0</v>
      </c>
    </row>
    <row r="1045" spans="1:8" x14ac:dyDescent="0.2">
      <c r="A1045" s="2" t="s">
        <v>77</v>
      </c>
      <c r="B1045" s="4">
        <v>17</v>
      </c>
      <c r="C1045" s="5">
        <v>4.91</v>
      </c>
      <c r="D1045" s="4">
        <v>1</v>
      </c>
      <c r="E1045" s="5">
        <v>0.57999999999999996</v>
      </c>
      <c r="F1045" s="4">
        <v>16</v>
      </c>
      <c r="G1045" s="5">
        <v>9.41</v>
      </c>
      <c r="H1045" s="4">
        <v>0</v>
      </c>
    </row>
    <row r="1046" spans="1:8" x14ac:dyDescent="0.2">
      <c r="A1046" s="2" t="s">
        <v>78</v>
      </c>
      <c r="B1046" s="4">
        <v>0</v>
      </c>
      <c r="C1046" s="5">
        <v>0</v>
      </c>
      <c r="D1046" s="4">
        <v>0</v>
      </c>
      <c r="E1046" s="5">
        <v>0</v>
      </c>
      <c r="F1046" s="4">
        <v>0</v>
      </c>
      <c r="G1046" s="5">
        <v>0</v>
      </c>
      <c r="H1046" s="4">
        <v>0</v>
      </c>
    </row>
    <row r="1047" spans="1:8" x14ac:dyDescent="0.2">
      <c r="A1047" s="2" t="s">
        <v>79</v>
      </c>
      <c r="B1047" s="4">
        <v>5</v>
      </c>
      <c r="C1047" s="5">
        <v>1.45</v>
      </c>
      <c r="D1047" s="4">
        <v>0</v>
      </c>
      <c r="E1047" s="5">
        <v>0</v>
      </c>
      <c r="F1047" s="4">
        <v>5</v>
      </c>
      <c r="G1047" s="5">
        <v>2.94</v>
      </c>
      <c r="H1047" s="4">
        <v>0</v>
      </c>
    </row>
    <row r="1048" spans="1:8" x14ac:dyDescent="0.2">
      <c r="A1048" s="2" t="s">
        <v>80</v>
      </c>
      <c r="B1048" s="4">
        <v>5</v>
      </c>
      <c r="C1048" s="5">
        <v>1.45</v>
      </c>
      <c r="D1048" s="4">
        <v>1</v>
      </c>
      <c r="E1048" s="5">
        <v>0.57999999999999996</v>
      </c>
      <c r="F1048" s="4">
        <v>4</v>
      </c>
      <c r="G1048" s="5">
        <v>2.35</v>
      </c>
      <c r="H1048" s="4">
        <v>0</v>
      </c>
    </row>
    <row r="1049" spans="1:8" x14ac:dyDescent="0.2">
      <c r="A1049" s="2" t="s">
        <v>81</v>
      </c>
      <c r="B1049" s="4">
        <v>73</v>
      </c>
      <c r="C1049" s="5">
        <v>21.1</v>
      </c>
      <c r="D1049" s="4">
        <v>41</v>
      </c>
      <c r="E1049" s="5">
        <v>23.7</v>
      </c>
      <c r="F1049" s="4">
        <v>32</v>
      </c>
      <c r="G1049" s="5">
        <v>18.82</v>
      </c>
      <c r="H1049" s="4">
        <v>0</v>
      </c>
    </row>
    <row r="1050" spans="1:8" x14ac:dyDescent="0.2">
      <c r="A1050" s="2" t="s">
        <v>82</v>
      </c>
      <c r="B1050" s="4">
        <v>1</v>
      </c>
      <c r="C1050" s="5">
        <v>0.28999999999999998</v>
      </c>
      <c r="D1050" s="4">
        <v>1</v>
      </c>
      <c r="E1050" s="5">
        <v>0.57999999999999996</v>
      </c>
      <c r="F1050" s="4">
        <v>0</v>
      </c>
      <c r="G1050" s="5">
        <v>0</v>
      </c>
      <c r="H1050" s="4">
        <v>0</v>
      </c>
    </row>
    <row r="1051" spans="1:8" x14ac:dyDescent="0.2">
      <c r="A1051" s="2" t="s">
        <v>83</v>
      </c>
      <c r="B1051" s="4">
        <v>32</v>
      </c>
      <c r="C1051" s="5">
        <v>9.25</v>
      </c>
      <c r="D1051" s="4">
        <v>11</v>
      </c>
      <c r="E1051" s="5">
        <v>6.36</v>
      </c>
      <c r="F1051" s="4">
        <v>21</v>
      </c>
      <c r="G1051" s="5">
        <v>12.35</v>
      </c>
      <c r="H1051" s="4">
        <v>0</v>
      </c>
    </row>
    <row r="1052" spans="1:8" x14ac:dyDescent="0.2">
      <c r="A1052" s="2" t="s">
        <v>84</v>
      </c>
      <c r="B1052" s="4">
        <v>18</v>
      </c>
      <c r="C1052" s="5">
        <v>5.2</v>
      </c>
      <c r="D1052" s="4">
        <v>7</v>
      </c>
      <c r="E1052" s="5">
        <v>4.05</v>
      </c>
      <c r="F1052" s="4">
        <v>11</v>
      </c>
      <c r="G1052" s="5">
        <v>6.47</v>
      </c>
      <c r="H1052" s="4">
        <v>0</v>
      </c>
    </row>
    <row r="1053" spans="1:8" x14ac:dyDescent="0.2">
      <c r="A1053" s="2" t="s">
        <v>85</v>
      </c>
      <c r="B1053" s="4">
        <v>31</v>
      </c>
      <c r="C1053" s="5">
        <v>8.9600000000000009</v>
      </c>
      <c r="D1053" s="4">
        <v>26</v>
      </c>
      <c r="E1053" s="5">
        <v>15.03</v>
      </c>
      <c r="F1053" s="4">
        <v>5</v>
      </c>
      <c r="G1053" s="5">
        <v>2.94</v>
      </c>
      <c r="H1053" s="4">
        <v>0</v>
      </c>
    </row>
    <row r="1054" spans="1:8" x14ac:dyDescent="0.2">
      <c r="A1054" s="2" t="s">
        <v>86</v>
      </c>
      <c r="B1054" s="4">
        <v>50</v>
      </c>
      <c r="C1054" s="5">
        <v>14.45</v>
      </c>
      <c r="D1054" s="4">
        <v>37</v>
      </c>
      <c r="E1054" s="5">
        <v>21.39</v>
      </c>
      <c r="F1054" s="4">
        <v>13</v>
      </c>
      <c r="G1054" s="5">
        <v>7.65</v>
      </c>
      <c r="H1054" s="4">
        <v>0</v>
      </c>
    </row>
    <row r="1055" spans="1:8" x14ac:dyDescent="0.2">
      <c r="A1055" s="2" t="s">
        <v>87</v>
      </c>
      <c r="B1055" s="4">
        <v>28</v>
      </c>
      <c r="C1055" s="5">
        <v>8.09</v>
      </c>
      <c r="D1055" s="4">
        <v>22</v>
      </c>
      <c r="E1055" s="5">
        <v>12.72</v>
      </c>
      <c r="F1055" s="4">
        <v>5</v>
      </c>
      <c r="G1055" s="5">
        <v>2.94</v>
      </c>
      <c r="H1055" s="4">
        <v>0</v>
      </c>
    </row>
    <row r="1056" spans="1:8" x14ac:dyDescent="0.2">
      <c r="A1056" s="2" t="s">
        <v>88</v>
      </c>
      <c r="B1056" s="4">
        <v>28</v>
      </c>
      <c r="C1056" s="5">
        <v>8.09</v>
      </c>
      <c r="D1056" s="4">
        <v>15</v>
      </c>
      <c r="E1056" s="5">
        <v>8.67</v>
      </c>
      <c r="F1056" s="4">
        <v>12</v>
      </c>
      <c r="G1056" s="5">
        <v>7.06</v>
      </c>
      <c r="H1056" s="4">
        <v>1</v>
      </c>
    </row>
    <row r="1057" spans="1:8" x14ac:dyDescent="0.2">
      <c r="A1057" s="2" t="s">
        <v>89</v>
      </c>
      <c r="B1057" s="4">
        <v>11</v>
      </c>
      <c r="C1057" s="5">
        <v>3.18</v>
      </c>
      <c r="D1057" s="4">
        <v>3</v>
      </c>
      <c r="E1057" s="5">
        <v>1.73</v>
      </c>
      <c r="F1057" s="4">
        <v>7</v>
      </c>
      <c r="G1057" s="5">
        <v>4.12</v>
      </c>
      <c r="H1057" s="4">
        <v>0</v>
      </c>
    </row>
    <row r="1058" spans="1:8" x14ac:dyDescent="0.2">
      <c r="A1058" s="1" t="s">
        <v>66</v>
      </c>
      <c r="B1058" s="4">
        <v>250</v>
      </c>
      <c r="C1058" s="5">
        <v>100</v>
      </c>
      <c r="D1058" s="4">
        <v>120</v>
      </c>
      <c r="E1058" s="5">
        <v>100.01</v>
      </c>
      <c r="F1058" s="4">
        <v>121</v>
      </c>
      <c r="G1058" s="5">
        <v>100.00000000000001</v>
      </c>
      <c r="H1058" s="4">
        <v>1</v>
      </c>
    </row>
    <row r="1059" spans="1:8" x14ac:dyDescent="0.2">
      <c r="A1059" s="2" t="s">
        <v>75</v>
      </c>
      <c r="B1059" s="4">
        <v>0</v>
      </c>
      <c r="C1059" s="5">
        <v>0</v>
      </c>
      <c r="D1059" s="4">
        <v>0</v>
      </c>
      <c r="E1059" s="5">
        <v>0</v>
      </c>
      <c r="F1059" s="4">
        <v>0</v>
      </c>
      <c r="G1059" s="5">
        <v>0</v>
      </c>
      <c r="H1059" s="4">
        <v>0</v>
      </c>
    </row>
    <row r="1060" spans="1:8" x14ac:dyDescent="0.2">
      <c r="A1060" s="2" t="s">
        <v>76</v>
      </c>
      <c r="B1060" s="4">
        <v>50</v>
      </c>
      <c r="C1060" s="5">
        <v>20</v>
      </c>
      <c r="D1060" s="4">
        <v>20</v>
      </c>
      <c r="E1060" s="5">
        <v>16.670000000000002</v>
      </c>
      <c r="F1060" s="4">
        <v>30</v>
      </c>
      <c r="G1060" s="5">
        <v>24.79</v>
      </c>
      <c r="H1060" s="4">
        <v>0</v>
      </c>
    </row>
    <row r="1061" spans="1:8" x14ac:dyDescent="0.2">
      <c r="A1061" s="2" t="s">
        <v>77</v>
      </c>
      <c r="B1061" s="4">
        <v>17</v>
      </c>
      <c r="C1061" s="5">
        <v>6.8</v>
      </c>
      <c r="D1061" s="4">
        <v>5</v>
      </c>
      <c r="E1061" s="5">
        <v>4.17</v>
      </c>
      <c r="F1061" s="4">
        <v>12</v>
      </c>
      <c r="G1061" s="5">
        <v>9.92</v>
      </c>
      <c r="H1061" s="4">
        <v>0</v>
      </c>
    </row>
    <row r="1062" spans="1:8" x14ac:dyDescent="0.2">
      <c r="A1062" s="2" t="s">
        <v>78</v>
      </c>
      <c r="B1062" s="4">
        <v>0</v>
      </c>
      <c r="C1062" s="5">
        <v>0</v>
      </c>
      <c r="D1062" s="4">
        <v>0</v>
      </c>
      <c r="E1062" s="5">
        <v>0</v>
      </c>
      <c r="F1062" s="4">
        <v>0</v>
      </c>
      <c r="G1062" s="5">
        <v>0</v>
      </c>
      <c r="H1062" s="4">
        <v>0</v>
      </c>
    </row>
    <row r="1063" spans="1:8" x14ac:dyDescent="0.2">
      <c r="A1063" s="2" t="s">
        <v>79</v>
      </c>
      <c r="B1063" s="4">
        <v>4</v>
      </c>
      <c r="C1063" s="5">
        <v>1.6</v>
      </c>
      <c r="D1063" s="4">
        <v>0</v>
      </c>
      <c r="E1063" s="5">
        <v>0</v>
      </c>
      <c r="F1063" s="4">
        <v>4</v>
      </c>
      <c r="G1063" s="5">
        <v>3.31</v>
      </c>
      <c r="H1063" s="4">
        <v>0</v>
      </c>
    </row>
    <row r="1064" spans="1:8" x14ac:dyDescent="0.2">
      <c r="A1064" s="2" t="s">
        <v>80</v>
      </c>
      <c r="B1064" s="4">
        <v>8</v>
      </c>
      <c r="C1064" s="5">
        <v>3.2</v>
      </c>
      <c r="D1064" s="4">
        <v>2</v>
      </c>
      <c r="E1064" s="5">
        <v>1.67</v>
      </c>
      <c r="F1064" s="4">
        <v>6</v>
      </c>
      <c r="G1064" s="5">
        <v>4.96</v>
      </c>
      <c r="H1064" s="4">
        <v>0</v>
      </c>
    </row>
    <row r="1065" spans="1:8" x14ac:dyDescent="0.2">
      <c r="A1065" s="2" t="s">
        <v>81</v>
      </c>
      <c r="B1065" s="4">
        <v>51</v>
      </c>
      <c r="C1065" s="5">
        <v>20.399999999999999</v>
      </c>
      <c r="D1065" s="4">
        <v>28</v>
      </c>
      <c r="E1065" s="5">
        <v>23.33</v>
      </c>
      <c r="F1065" s="4">
        <v>23</v>
      </c>
      <c r="G1065" s="5">
        <v>19.010000000000002</v>
      </c>
      <c r="H1065" s="4">
        <v>0</v>
      </c>
    </row>
    <row r="1066" spans="1:8" x14ac:dyDescent="0.2">
      <c r="A1066" s="2" t="s">
        <v>82</v>
      </c>
      <c r="B1066" s="4">
        <v>2</v>
      </c>
      <c r="C1066" s="5">
        <v>0.8</v>
      </c>
      <c r="D1066" s="4">
        <v>0</v>
      </c>
      <c r="E1066" s="5">
        <v>0</v>
      </c>
      <c r="F1066" s="4">
        <v>2</v>
      </c>
      <c r="G1066" s="5">
        <v>1.65</v>
      </c>
      <c r="H1066" s="4">
        <v>0</v>
      </c>
    </row>
    <row r="1067" spans="1:8" x14ac:dyDescent="0.2">
      <c r="A1067" s="2" t="s">
        <v>83</v>
      </c>
      <c r="B1067" s="4">
        <v>11</v>
      </c>
      <c r="C1067" s="5">
        <v>4.4000000000000004</v>
      </c>
      <c r="D1067" s="4">
        <v>4</v>
      </c>
      <c r="E1067" s="5">
        <v>3.33</v>
      </c>
      <c r="F1067" s="4">
        <v>7</v>
      </c>
      <c r="G1067" s="5">
        <v>5.79</v>
      </c>
      <c r="H1067" s="4">
        <v>0</v>
      </c>
    </row>
    <row r="1068" spans="1:8" x14ac:dyDescent="0.2">
      <c r="A1068" s="2" t="s">
        <v>84</v>
      </c>
      <c r="B1068" s="4">
        <v>22</v>
      </c>
      <c r="C1068" s="5">
        <v>8.8000000000000007</v>
      </c>
      <c r="D1068" s="4">
        <v>9</v>
      </c>
      <c r="E1068" s="5">
        <v>7.5</v>
      </c>
      <c r="F1068" s="4">
        <v>13</v>
      </c>
      <c r="G1068" s="5">
        <v>10.74</v>
      </c>
      <c r="H1068" s="4">
        <v>0</v>
      </c>
    </row>
    <row r="1069" spans="1:8" x14ac:dyDescent="0.2">
      <c r="A1069" s="2" t="s">
        <v>85</v>
      </c>
      <c r="B1069" s="4">
        <v>16</v>
      </c>
      <c r="C1069" s="5">
        <v>6.4</v>
      </c>
      <c r="D1069" s="4">
        <v>14</v>
      </c>
      <c r="E1069" s="5">
        <v>11.67</v>
      </c>
      <c r="F1069" s="4">
        <v>2</v>
      </c>
      <c r="G1069" s="5">
        <v>1.65</v>
      </c>
      <c r="H1069" s="4">
        <v>0</v>
      </c>
    </row>
    <row r="1070" spans="1:8" x14ac:dyDescent="0.2">
      <c r="A1070" s="2" t="s">
        <v>86</v>
      </c>
      <c r="B1070" s="4">
        <v>28</v>
      </c>
      <c r="C1070" s="5">
        <v>11.2</v>
      </c>
      <c r="D1070" s="4">
        <v>23</v>
      </c>
      <c r="E1070" s="5">
        <v>19.170000000000002</v>
      </c>
      <c r="F1070" s="4">
        <v>4</v>
      </c>
      <c r="G1070" s="5">
        <v>3.31</v>
      </c>
      <c r="H1070" s="4">
        <v>0</v>
      </c>
    </row>
    <row r="1071" spans="1:8" x14ac:dyDescent="0.2">
      <c r="A1071" s="2" t="s">
        <v>87</v>
      </c>
      <c r="B1071" s="4">
        <v>12</v>
      </c>
      <c r="C1071" s="5">
        <v>4.8</v>
      </c>
      <c r="D1071" s="4">
        <v>4</v>
      </c>
      <c r="E1071" s="5">
        <v>3.33</v>
      </c>
      <c r="F1071" s="4">
        <v>6</v>
      </c>
      <c r="G1071" s="5">
        <v>4.96</v>
      </c>
      <c r="H1071" s="4">
        <v>1</v>
      </c>
    </row>
    <row r="1072" spans="1:8" x14ac:dyDescent="0.2">
      <c r="A1072" s="2" t="s">
        <v>88</v>
      </c>
      <c r="B1072" s="4">
        <v>15</v>
      </c>
      <c r="C1072" s="5">
        <v>6</v>
      </c>
      <c r="D1072" s="4">
        <v>9</v>
      </c>
      <c r="E1072" s="5">
        <v>7.5</v>
      </c>
      <c r="F1072" s="4">
        <v>2</v>
      </c>
      <c r="G1072" s="5">
        <v>1.65</v>
      </c>
      <c r="H1072" s="4">
        <v>0</v>
      </c>
    </row>
    <row r="1073" spans="1:8" x14ac:dyDescent="0.2">
      <c r="A1073" s="2" t="s">
        <v>89</v>
      </c>
      <c r="B1073" s="4">
        <v>14</v>
      </c>
      <c r="C1073" s="5">
        <v>5.6</v>
      </c>
      <c r="D1073" s="4">
        <v>2</v>
      </c>
      <c r="E1073" s="5">
        <v>1.67</v>
      </c>
      <c r="F1073" s="4">
        <v>10</v>
      </c>
      <c r="G1073" s="5">
        <v>8.26</v>
      </c>
      <c r="H1073" s="4">
        <v>0</v>
      </c>
    </row>
    <row r="1074" spans="1:8" x14ac:dyDescent="0.2">
      <c r="A1074" s="1" t="s">
        <v>67</v>
      </c>
      <c r="B1074" s="4">
        <v>185</v>
      </c>
      <c r="C1074" s="5">
        <v>100.00000000000001</v>
      </c>
      <c r="D1074" s="4">
        <v>104</v>
      </c>
      <c r="E1074" s="5">
        <v>99.999999999999972</v>
      </c>
      <c r="F1074" s="4">
        <v>76</v>
      </c>
      <c r="G1074" s="5">
        <v>100</v>
      </c>
      <c r="H1074" s="4">
        <v>0</v>
      </c>
    </row>
    <row r="1075" spans="1:8" x14ac:dyDescent="0.2">
      <c r="A1075" s="2" t="s">
        <v>75</v>
      </c>
      <c r="B1075" s="4">
        <v>0</v>
      </c>
      <c r="C1075" s="5">
        <v>0</v>
      </c>
      <c r="D1075" s="4">
        <v>0</v>
      </c>
      <c r="E1075" s="5">
        <v>0</v>
      </c>
      <c r="F1075" s="4">
        <v>0</v>
      </c>
      <c r="G1075" s="5">
        <v>0</v>
      </c>
      <c r="H1075" s="4">
        <v>0</v>
      </c>
    </row>
    <row r="1076" spans="1:8" x14ac:dyDescent="0.2">
      <c r="A1076" s="2" t="s">
        <v>76</v>
      </c>
      <c r="B1076" s="4">
        <v>39</v>
      </c>
      <c r="C1076" s="5">
        <v>21.08</v>
      </c>
      <c r="D1076" s="4">
        <v>20</v>
      </c>
      <c r="E1076" s="5">
        <v>19.23</v>
      </c>
      <c r="F1076" s="4">
        <v>19</v>
      </c>
      <c r="G1076" s="5">
        <v>25</v>
      </c>
      <c r="H1076" s="4">
        <v>0</v>
      </c>
    </row>
    <row r="1077" spans="1:8" x14ac:dyDescent="0.2">
      <c r="A1077" s="2" t="s">
        <v>77</v>
      </c>
      <c r="B1077" s="4">
        <v>33</v>
      </c>
      <c r="C1077" s="5">
        <v>17.84</v>
      </c>
      <c r="D1077" s="4">
        <v>18</v>
      </c>
      <c r="E1077" s="5">
        <v>17.309999999999999</v>
      </c>
      <c r="F1077" s="4">
        <v>15</v>
      </c>
      <c r="G1077" s="5">
        <v>19.739999999999998</v>
      </c>
      <c r="H1077" s="4">
        <v>0</v>
      </c>
    </row>
    <row r="1078" spans="1:8" x14ac:dyDescent="0.2">
      <c r="A1078" s="2" t="s">
        <v>78</v>
      </c>
      <c r="B1078" s="4">
        <v>1</v>
      </c>
      <c r="C1078" s="5">
        <v>0.54</v>
      </c>
      <c r="D1078" s="4">
        <v>0</v>
      </c>
      <c r="E1078" s="5">
        <v>0</v>
      </c>
      <c r="F1078" s="4">
        <v>0</v>
      </c>
      <c r="G1078" s="5">
        <v>0</v>
      </c>
      <c r="H1078" s="4">
        <v>0</v>
      </c>
    </row>
    <row r="1079" spans="1:8" x14ac:dyDescent="0.2">
      <c r="A1079" s="2" t="s">
        <v>79</v>
      </c>
      <c r="B1079" s="4">
        <v>2</v>
      </c>
      <c r="C1079" s="5">
        <v>1.08</v>
      </c>
      <c r="D1079" s="4">
        <v>0</v>
      </c>
      <c r="E1079" s="5">
        <v>0</v>
      </c>
      <c r="F1079" s="4">
        <v>2</v>
      </c>
      <c r="G1079" s="5">
        <v>2.63</v>
      </c>
      <c r="H1079" s="4">
        <v>0</v>
      </c>
    </row>
    <row r="1080" spans="1:8" x14ac:dyDescent="0.2">
      <c r="A1080" s="2" t="s">
        <v>80</v>
      </c>
      <c r="B1080" s="4">
        <v>3</v>
      </c>
      <c r="C1080" s="5">
        <v>1.62</v>
      </c>
      <c r="D1080" s="4">
        <v>0</v>
      </c>
      <c r="E1080" s="5">
        <v>0</v>
      </c>
      <c r="F1080" s="4">
        <v>3</v>
      </c>
      <c r="G1080" s="5">
        <v>3.95</v>
      </c>
      <c r="H1080" s="4">
        <v>0</v>
      </c>
    </row>
    <row r="1081" spans="1:8" x14ac:dyDescent="0.2">
      <c r="A1081" s="2" t="s">
        <v>81</v>
      </c>
      <c r="B1081" s="4">
        <v>50</v>
      </c>
      <c r="C1081" s="5">
        <v>27.03</v>
      </c>
      <c r="D1081" s="4">
        <v>30</v>
      </c>
      <c r="E1081" s="5">
        <v>28.85</v>
      </c>
      <c r="F1081" s="4">
        <v>20</v>
      </c>
      <c r="G1081" s="5">
        <v>26.32</v>
      </c>
      <c r="H1081" s="4">
        <v>0</v>
      </c>
    </row>
    <row r="1082" spans="1:8" x14ac:dyDescent="0.2">
      <c r="A1082" s="2" t="s">
        <v>82</v>
      </c>
      <c r="B1082" s="4">
        <v>1</v>
      </c>
      <c r="C1082" s="5">
        <v>0.54</v>
      </c>
      <c r="D1082" s="4">
        <v>0</v>
      </c>
      <c r="E1082" s="5">
        <v>0</v>
      </c>
      <c r="F1082" s="4">
        <v>1</v>
      </c>
      <c r="G1082" s="5">
        <v>1.32</v>
      </c>
      <c r="H1082" s="4">
        <v>0</v>
      </c>
    </row>
    <row r="1083" spans="1:8" x14ac:dyDescent="0.2">
      <c r="A1083" s="2" t="s">
        <v>83</v>
      </c>
      <c r="B1083" s="4">
        <v>5</v>
      </c>
      <c r="C1083" s="5">
        <v>2.7</v>
      </c>
      <c r="D1083" s="4">
        <v>1</v>
      </c>
      <c r="E1083" s="5">
        <v>0.96</v>
      </c>
      <c r="F1083" s="4">
        <v>4</v>
      </c>
      <c r="G1083" s="5">
        <v>5.26</v>
      </c>
      <c r="H1083" s="4">
        <v>0</v>
      </c>
    </row>
    <row r="1084" spans="1:8" x14ac:dyDescent="0.2">
      <c r="A1084" s="2" t="s">
        <v>84</v>
      </c>
      <c r="B1084" s="4">
        <v>2</v>
      </c>
      <c r="C1084" s="5">
        <v>1.08</v>
      </c>
      <c r="D1084" s="4">
        <v>0</v>
      </c>
      <c r="E1084" s="5">
        <v>0</v>
      </c>
      <c r="F1084" s="4">
        <v>2</v>
      </c>
      <c r="G1084" s="5">
        <v>2.63</v>
      </c>
      <c r="H1084" s="4">
        <v>0</v>
      </c>
    </row>
    <row r="1085" spans="1:8" x14ac:dyDescent="0.2">
      <c r="A1085" s="2" t="s">
        <v>85</v>
      </c>
      <c r="B1085" s="4">
        <v>16</v>
      </c>
      <c r="C1085" s="5">
        <v>8.65</v>
      </c>
      <c r="D1085" s="4">
        <v>12</v>
      </c>
      <c r="E1085" s="5">
        <v>11.54</v>
      </c>
      <c r="F1085" s="4">
        <v>4</v>
      </c>
      <c r="G1085" s="5">
        <v>5.26</v>
      </c>
      <c r="H1085" s="4">
        <v>0</v>
      </c>
    </row>
    <row r="1086" spans="1:8" x14ac:dyDescent="0.2">
      <c r="A1086" s="2" t="s">
        <v>86</v>
      </c>
      <c r="B1086" s="4">
        <v>13</v>
      </c>
      <c r="C1086" s="5">
        <v>7.03</v>
      </c>
      <c r="D1086" s="4">
        <v>12</v>
      </c>
      <c r="E1086" s="5">
        <v>11.54</v>
      </c>
      <c r="F1086" s="4">
        <v>0</v>
      </c>
      <c r="G1086" s="5">
        <v>0</v>
      </c>
      <c r="H1086" s="4">
        <v>0</v>
      </c>
    </row>
    <row r="1087" spans="1:8" x14ac:dyDescent="0.2">
      <c r="A1087" s="2" t="s">
        <v>87</v>
      </c>
      <c r="B1087" s="4">
        <v>1</v>
      </c>
      <c r="C1087" s="5">
        <v>0.54</v>
      </c>
      <c r="D1087" s="4">
        <v>1</v>
      </c>
      <c r="E1087" s="5">
        <v>0.96</v>
      </c>
      <c r="F1087" s="4">
        <v>0</v>
      </c>
      <c r="G1087" s="5">
        <v>0</v>
      </c>
      <c r="H1087" s="4">
        <v>0</v>
      </c>
    </row>
    <row r="1088" spans="1:8" x14ac:dyDescent="0.2">
      <c r="A1088" s="2" t="s">
        <v>88</v>
      </c>
      <c r="B1088" s="4">
        <v>6</v>
      </c>
      <c r="C1088" s="5">
        <v>3.24</v>
      </c>
      <c r="D1088" s="4">
        <v>3</v>
      </c>
      <c r="E1088" s="5">
        <v>2.88</v>
      </c>
      <c r="F1088" s="4">
        <v>2</v>
      </c>
      <c r="G1088" s="5">
        <v>2.63</v>
      </c>
      <c r="H1088" s="4">
        <v>0</v>
      </c>
    </row>
    <row r="1089" spans="1:8" x14ac:dyDescent="0.2">
      <c r="A1089" s="2" t="s">
        <v>89</v>
      </c>
      <c r="B1089" s="4">
        <v>13</v>
      </c>
      <c r="C1089" s="5">
        <v>7.03</v>
      </c>
      <c r="D1089" s="4">
        <v>7</v>
      </c>
      <c r="E1089" s="5">
        <v>6.73</v>
      </c>
      <c r="F1089" s="4">
        <v>4</v>
      </c>
      <c r="G1089" s="5">
        <v>5.26</v>
      </c>
      <c r="H1089" s="4">
        <v>0</v>
      </c>
    </row>
    <row r="1090" spans="1:8" x14ac:dyDescent="0.2">
      <c r="A1090" s="1" t="s">
        <v>68</v>
      </c>
      <c r="B1090" s="4">
        <v>343</v>
      </c>
      <c r="C1090" s="5">
        <v>99.990000000000009</v>
      </c>
      <c r="D1090" s="4">
        <v>179</v>
      </c>
      <c r="E1090" s="5">
        <v>100</v>
      </c>
      <c r="F1090" s="4">
        <v>161</v>
      </c>
      <c r="G1090" s="5">
        <v>99.990000000000009</v>
      </c>
      <c r="H1090" s="4">
        <v>0</v>
      </c>
    </row>
    <row r="1091" spans="1:8" x14ac:dyDescent="0.2">
      <c r="A1091" s="2" t="s">
        <v>75</v>
      </c>
      <c r="B1091" s="4">
        <v>0</v>
      </c>
      <c r="C1091" s="5">
        <v>0</v>
      </c>
      <c r="D1091" s="4">
        <v>0</v>
      </c>
      <c r="E1091" s="5">
        <v>0</v>
      </c>
      <c r="F1091" s="4">
        <v>0</v>
      </c>
      <c r="G1091" s="5">
        <v>0</v>
      </c>
      <c r="H1091" s="4">
        <v>0</v>
      </c>
    </row>
    <row r="1092" spans="1:8" x14ac:dyDescent="0.2">
      <c r="A1092" s="2" t="s">
        <v>76</v>
      </c>
      <c r="B1092" s="4">
        <v>41</v>
      </c>
      <c r="C1092" s="5">
        <v>11.95</v>
      </c>
      <c r="D1092" s="4">
        <v>7</v>
      </c>
      <c r="E1092" s="5">
        <v>3.91</v>
      </c>
      <c r="F1092" s="4">
        <v>34</v>
      </c>
      <c r="G1092" s="5">
        <v>21.12</v>
      </c>
      <c r="H1092" s="4">
        <v>0</v>
      </c>
    </row>
    <row r="1093" spans="1:8" x14ac:dyDescent="0.2">
      <c r="A1093" s="2" t="s">
        <v>77</v>
      </c>
      <c r="B1093" s="4">
        <v>67</v>
      </c>
      <c r="C1093" s="5">
        <v>19.53</v>
      </c>
      <c r="D1093" s="4">
        <v>25</v>
      </c>
      <c r="E1093" s="5">
        <v>13.97</v>
      </c>
      <c r="F1093" s="4">
        <v>42</v>
      </c>
      <c r="G1093" s="5">
        <v>26.09</v>
      </c>
      <c r="H1093" s="4">
        <v>0</v>
      </c>
    </row>
    <row r="1094" spans="1:8" x14ac:dyDescent="0.2">
      <c r="A1094" s="2" t="s">
        <v>78</v>
      </c>
      <c r="B1094" s="4">
        <v>0</v>
      </c>
      <c r="C1094" s="5">
        <v>0</v>
      </c>
      <c r="D1094" s="4">
        <v>0</v>
      </c>
      <c r="E1094" s="5">
        <v>0</v>
      </c>
      <c r="F1094" s="4">
        <v>0</v>
      </c>
      <c r="G1094" s="5">
        <v>0</v>
      </c>
      <c r="H1094" s="4">
        <v>0</v>
      </c>
    </row>
    <row r="1095" spans="1:8" x14ac:dyDescent="0.2">
      <c r="A1095" s="2" t="s">
        <v>79</v>
      </c>
      <c r="B1095" s="4">
        <v>1</v>
      </c>
      <c r="C1095" s="5">
        <v>0.28999999999999998</v>
      </c>
      <c r="D1095" s="4">
        <v>0</v>
      </c>
      <c r="E1095" s="5">
        <v>0</v>
      </c>
      <c r="F1095" s="4">
        <v>1</v>
      </c>
      <c r="G1095" s="5">
        <v>0.62</v>
      </c>
      <c r="H1095" s="4">
        <v>0</v>
      </c>
    </row>
    <row r="1096" spans="1:8" x14ac:dyDescent="0.2">
      <c r="A1096" s="2" t="s">
        <v>80</v>
      </c>
      <c r="B1096" s="4">
        <v>4</v>
      </c>
      <c r="C1096" s="5">
        <v>1.17</v>
      </c>
      <c r="D1096" s="4">
        <v>0</v>
      </c>
      <c r="E1096" s="5">
        <v>0</v>
      </c>
      <c r="F1096" s="4">
        <v>4</v>
      </c>
      <c r="G1096" s="5">
        <v>2.48</v>
      </c>
      <c r="H1096" s="4">
        <v>0</v>
      </c>
    </row>
    <row r="1097" spans="1:8" x14ac:dyDescent="0.2">
      <c r="A1097" s="2" t="s">
        <v>81</v>
      </c>
      <c r="B1097" s="4">
        <v>83</v>
      </c>
      <c r="C1097" s="5">
        <v>24.2</v>
      </c>
      <c r="D1097" s="4">
        <v>51</v>
      </c>
      <c r="E1097" s="5">
        <v>28.49</v>
      </c>
      <c r="F1097" s="4">
        <v>32</v>
      </c>
      <c r="G1097" s="5">
        <v>19.88</v>
      </c>
      <c r="H1097" s="4">
        <v>0</v>
      </c>
    </row>
    <row r="1098" spans="1:8" x14ac:dyDescent="0.2">
      <c r="A1098" s="2" t="s">
        <v>82</v>
      </c>
      <c r="B1098" s="4">
        <v>1</v>
      </c>
      <c r="C1098" s="5">
        <v>0.28999999999999998</v>
      </c>
      <c r="D1098" s="4">
        <v>1</v>
      </c>
      <c r="E1098" s="5">
        <v>0.56000000000000005</v>
      </c>
      <c r="F1098" s="4">
        <v>0</v>
      </c>
      <c r="G1098" s="5">
        <v>0</v>
      </c>
      <c r="H1098" s="4">
        <v>0</v>
      </c>
    </row>
    <row r="1099" spans="1:8" x14ac:dyDescent="0.2">
      <c r="A1099" s="2" t="s">
        <v>83</v>
      </c>
      <c r="B1099" s="4">
        <v>29</v>
      </c>
      <c r="C1099" s="5">
        <v>8.4499999999999993</v>
      </c>
      <c r="D1099" s="4">
        <v>4</v>
      </c>
      <c r="E1099" s="5">
        <v>2.23</v>
      </c>
      <c r="F1099" s="4">
        <v>25</v>
      </c>
      <c r="G1099" s="5">
        <v>15.53</v>
      </c>
      <c r="H1099" s="4">
        <v>0</v>
      </c>
    </row>
    <row r="1100" spans="1:8" x14ac:dyDescent="0.2">
      <c r="A1100" s="2" t="s">
        <v>84</v>
      </c>
      <c r="B1100" s="4">
        <v>7</v>
      </c>
      <c r="C1100" s="5">
        <v>2.04</v>
      </c>
      <c r="D1100" s="4">
        <v>4</v>
      </c>
      <c r="E1100" s="5">
        <v>2.23</v>
      </c>
      <c r="F1100" s="4">
        <v>3</v>
      </c>
      <c r="G1100" s="5">
        <v>1.86</v>
      </c>
      <c r="H1100" s="4">
        <v>0</v>
      </c>
    </row>
    <row r="1101" spans="1:8" x14ac:dyDescent="0.2">
      <c r="A1101" s="2" t="s">
        <v>85</v>
      </c>
      <c r="B1101" s="4">
        <v>34</v>
      </c>
      <c r="C1101" s="5">
        <v>9.91</v>
      </c>
      <c r="D1101" s="4">
        <v>33</v>
      </c>
      <c r="E1101" s="5">
        <v>18.440000000000001</v>
      </c>
      <c r="F1101" s="4">
        <v>1</v>
      </c>
      <c r="G1101" s="5">
        <v>0.62</v>
      </c>
      <c r="H1101" s="4">
        <v>0</v>
      </c>
    </row>
    <row r="1102" spans="1:8" x14ac:dyDescent="0.2">
      <c r="A1102" s="2" t="s">
        <v>86</v>
      </c>
      <c r="B1102" s="4">
        <v>31</v>
      </c>
      <c r="C1102" s="5">
        <v>9.0399999999999991</v>
      </c>
      <c r="D1102" s="4">
        <v>28</v>
      </c>
      <c r="E1102" s="5">
        <v>15.64</v>
      </c>
      <c r="F1102" s="4">
        <v>3</v>
      </c>
      <c r="G1102" s="5">
        <v>1.86</v>
      </c>
      <c r="H1102" s="4">
        <v>0</v>
      </c>
    </row>
    <row r="1103" spans="1:8" x14ac:dyDescent="0.2">
      <c r="A1103" s="2" t="s">
        <v>87</v>
      </c>
      <c r="B1103" s="4">
        <v>8</v>
      </c>
      <c r="C1103" s="5">
        <v>2.33</v>
      </c>
      <c r="D1103" s="4">
        <v>3</v>
      </c>
      <c r="E1103" s="5">
        <v>1.68</v>
      </c>
      <c r="F1103" s="4">
        <v>3</v>
      </c>
      <c r="G1103" s="5">
        <v>1.86</v>
      </c>
      <c r="H1103" s="4">
        <v>0</v>
      </c>
    </row>
    <row r="1104" spans="1:8" x14ac:dyDescent="0.2">
      <c r="A1104" s="2" t="s">
        <v>88</v>
      </c>
      <c r="B1104" s="4">
        <v>25</v>
      </c>
      <c r="C1104" s="5">
        <v>7.29</v>
      </c>
      <c r="D1104" s="4">
        <v>15</v>
      </c>
      <c r="E1104" s="5">
        <v>8.3800000000000008</v>
      </c>
      <c r="F1104" s="4">
        <v>9</v>
      </c>
      <c r="G1104" s="5">
        <v>5.59</v>
      </c>
      <c r="H1104" s="4">
        <v>0</v>
      </c>
    </row>
    <row r="1105" spans="1:8" x14ac:dyDescent="0.2">
      <c r="A1105" s="2" t="s">
        <v>89</v>
      </c>
      <c r="B1105" s="4">
        <v>12</v>
      </c>
      <c r="C1105" s="5">
        <v>3.5</v>
      </c>
      <c r="D1105" s="4">
        <v>8</v>
      </c>
      <c r="E1105" s="5">
        <v>4.47</v>
      </c>
      <c r="F1105" s="4">
        <v>4</v>
      </c>
      <c r="G1105" s="5">
        <v>2.48</v>
      </c>
      <c r="H1105" s="4">
        <v>0</v>
      </c>
    </row>
    <row r="1106" spans="1:8" x14ac:dyDescent="0.2">
      <c r="A1106" s="1" t="s">
        <v>69</v>
      </c>
      <c r="B1106" s="4">
        <v>764</v>
      </c>
      <c r="C1106" s="5">
        <v>99.99</v>
      </c>
      <c r="D1106" s="4">
        <v>471</v>
      </c>
      <c r="E1106" s="5">
        <v>99.99</v>
      </c>
      <c r="F1106" s="4">
        <v>286</v>
      </c>
      <c r="G1106" s="5">
        <v>100.02</v>
      </c>
      <c r="H1106" s="4">
        <v>2</v>
      </c>
    </row>
    <row r="1107" spans="1:8" x14ac:dyDescent="0.2">
      <c r="A1107" s="2" t="s">
        <v>75</v>
      </c>
      <c r="B1107" s="4">
        <v>0</v>
      </c>
      <c r="C1107" s="5">
        <v>0</v>
      </c>
      <c r="D1107" s="4">
        <v>0</v>
      </c>
      <c r="E1107" s="5">
        <v>0</v>
      </c>
      <c r="F1107" s="4">
        <v>0</v>
      </c>
      <c r="G1107" s="5">
        <v>0</v>
      </c>
      <c r="H1107" s="4">
        <v>0</v>
      </c>
    </row>
    <row r="1108" spans="1:8" x14ac:dyDescent="0.2">
      <c r="A1108" s="2" t="s">
        <v>76</v>
      </c>
      <c r="B1108" s="4">
        <v>111</v>
      </c>
      <c r="C1108" s="5">
        <v>14.53</v>
      </c>
      <c r="D1108" s="4">
        <v>42</v>
      </c>
      <c r="E1108" s="5">
        <v>8.92</v>
      </c>
      <c r="F1108" s="4">
        <v>69</v>
      </c>
      <c r="G1108" s="5">
        <v>24.13</v>
      </c>
      <c r="H1108" s="4">
        <v>0</v>
      </c>
    </row>
    <row r="1109" spans="1:8" x14ac:dyDescent="0.2">
      <c r="A1109" s="2" t="s">
        <v>77</v>
      </c>
      <c r="B1109" s="4">
        <v>78</v>
      </c>
      <c r="C1109" s="5">
        <v>10.210000000000001</v>
      </c>
      <c r="D1109" s="4">
        <v>44</v>
      </c>
      <c r="E1109" s="5">
        <v>9.34</v>
      </c>
      <c r="F1109" s="4">
        <v>34</v>
      </c>
      <c r="G1109" s="5">
        <v>11.89</v>
      </c>
      <c r="H1109" s="4">
        <v>0</v>
      </c>
    </row>
    <row r="1110" spans="1:8" x14ac:dyDescent="0.2">
      <c r="A1110" s="2" t="s">
        <v>78</v>
      </c>
      <c r="B1110" s="4">
        <v>1</v>
      </c>
      <c r="C1110" s="5">
        <v>0.13</v>
      </c>
      <c r="D1110" s="4">
        <v>0</v>
      </c>
      <c r="E1110" s="5">
        <v>0</v>
      </c>
      <c r="F1110" s="4">
        <v>1</v>
      </c>
      <c r="G1110" s="5">
        <v>0.35</v>
      </c>
      <c r="H1110" s="4">
        <v>0</v>
      </c>
    </row>
    <row r="1111" spans="1:8" x14ac:dyDescent="0.2">
      <c r="A1111" s="2" t="s">
        <v>79</v>
      </c>
      <c r="B1111" s="4">
        <v>1</v>
      </c>
      <c r="C1111" s="5">
        <v>0.13</v>
      </c>
      <c r="D1111" s="4">
        <v>0</v>
      </c>
      <c r="E1111" s="5">
        <v>0</v>
      </c>
      <c r="F1111" s="4">
        <v>1</v>
      </c>
      <c r="G1111" s="5">
        <v>0.35</v>
      </c>
      <c r="H1111" s="4">
        <v>0</v>
      </c>
    </row>
    <row r="1112" spans="1:8" x14ac:dyDescent="0.2">
      <c r="A1112" s="2" t="s">
        <v>80</v>
      </c>
      <c r="B1112" s="4">
        <v>5</v>
      </c>
      <c r="C1112" s="5">
        <v>0.65</v>
      </c>
      <c r="D1112" s="4">
        <v>1</v>
      </c>
      <c r="E1112" s="5">
        <v>0.21</v>
      </c>
      <c r="F1112" s="4">
        <v>4</v>
      </c>
      <c r="G1112" s="5">
        <v>1.4</v>
      </c>
      <c r="H1112" s="4">
        <v>0</v>
      </c>
    </row>
    <row r="1113" spans="1:8" x14ac:dyDescent="0.2">
      <c r="A1113" s="2" t="s">
        <v>81</v>
      </c>
      <c r="B1113" s="4">
        <v>153</v>
      </c>
      <c r="C1113" s="5">
        <v>20.03</v>
      </c>
      <c r="D1113" s="4">
        <v>99</v>
      </c>
      <c r="E1113" s="5">
        <v>21.02</v>
      </c>
      <c r="F1113" s="4">
        <v>53</v>
      </c>
      <c r="G1113" s="5">
        <v>18.53</v>
      </c>
      <c r="H1113" s="4">
        <v>1</v>
      </c>
    </row>
    <row r="1114" spans="1:8" x14ac:dyDescent="0.2">
      <c r="A1114" s="2" t="s">
        <v>82</v>
      </c>
      <c r="B1114" s="4">
        <v>3</v>
      </c>
      <c r="C1114" s="5">
        <v>0.39</v>
      </c>
      <c r="D1114" s="4">
        <v>1</v>
      </c>
      <c r="E1114" s="5">
        <v>0.21</v>
      </c>
      <c r="F1114" s="4">
        <v>2</v>
      </c>
      <c r="G1114" s="5">
        <v>0.7</v>
      </c>
      <c r="H1114" s="4">
        <v>0</v>
      </c>
    </row>
    <row r="1115" spans="1:8" x14ac:dyDescent="0.2">
      <c r="A1115" s="2" t="s">
        <v>83</v>
      </c>
      <c r="B1115" s="4">
        <v>101</v>
      </c>
      <c r="C1115" s="5">
        <v>13.22</v>
      </c>
      <c r="D1115" s="4">
        <v>51</v>
      </c>
      <c r="E1115" s="5">
        <v>10.83</v>
      </c>
      <c r="F1115" s="4">
        <v>50</v>
      </c>
      <c r="G1115" s="5">
        <v>17.48</v>
      </c>
      <c r="H1115" s="4">
        <v>0</v>
      </c>
    </row>
    <row r="1116" spans="1:8" x14ac:dyDescent="0.2">
      <c r="A1116" s="2" t="s">
        <v>84</v>
      </c>
      <c r="B1116" s="4">
        <v>31</v>
      </c>
      <c r="C1116" s="5">
        <v>4.0599999999999996</v>
      </c>
      <c r="D1116" s="4">
        <v>19</v>
      </c>
      <c r="E1116" s="5">
        <v>4.03</v>
      </c>
      <c r="F1116" s="4">
        <v>12</v>
      </c>
      <c r="G1116" s="5">
        <v>4.2</v>
      </c>
      <c r="H1116" s="4">
        <v>0</v>
      </c>
    </row>
    <row r="1117" spans="1:8" x14ac:dyDescent="0.2">
      <c r="A1117" s="2" t="s">
        <v>85</v>
      </c>
      <c r="B1117" s="4">
        <v>71</v>
      </c>
      <c r="C1117" s="5">
        <v>9.2899999999999991</v>
      </c>
      <c r="D1117" s="4">
        <v>65</v>
      </c>
      <c r="E1117" s="5">
        <v>13.8</v>
      </c>
      <c r="F1117" s="4">
        <v>6</v>
      </c>
      <c r="G1117" s="5">
        <v>2.1</v>
      </c>
      <c r="H1117" s="4">
        <v>0</v>
      </c>
    </row>
    <row r="1118" spans="1:8" x14ac:dyDescent="0.2">
      <c r="A1118" s="2" t="s">
        <v>86</v>
      </c>
      <c r="B1118" s="4">
        <v>88</v>
      </c>
      <c r="C1118" s="5">
        <v>11.52</v>
      </c>
      <c r="D1118" s="4">
        <v>77</v>
      </c>
      <c r="E1118" s="5">
        <v>16.350000000000001</v>
      </c>
      <c r="F1118" s="4">
        <v>10</v>
      </c>
      <c r="G1118" s="5">
        <v>3.5</v>
      </c>
      <c r="H1118" s="4">
        <v>0</v>
      </c>
    </row>
    <row r="1119" spans="1:8" x14ac:dyDescent="0.2">
      <c r="A1119" s="2" t="s">
        <v>87</v>
      </c>
      <c r="B1119" s="4">
        <v>49</v>
      </c>
      <c r="C1119" s="5">
        <v>6.41</v>
      </c>
      <c r="D1119" s="4">
        <v>40</v>
      </c>
      <c r="E1119" s="5">
        <v>8.49</v>
      </c>
      <c r="F1119" s="4">
        <v>7</v>
      </c>
      <c r="G1119" s="5">
        <v>2.4500000000000002</v>
      </c>
      <c r="H1119" s="4">
        <v>0</v>
      </c>
    </row>
    <row r="1120" spans="1:8" x14ac:dyDescent="0.2">
      <c r="A1120" s="2" t="s">
        <v>88</v>
      </c>
      <c r="B1120" s="4">
        <v>49</v>
      </c>
      <c r="C1120" s="5">
        <v>6.41</v>
      </c>
      <c r="D1120" s="4">
        <v>18</v>
      </c>
      <c r="E1120" s="5">
        <v>3.82</v>
      </c>
      <c r="F1120" s="4">
        <v>30</v>
      </c>
      <c r="G1120" s="5">
        <v>10.49</v>
      </c>
      <c r="H1120" s="4">
        <v>0</v>
      </c>
    </row>
    <row r="1121" spans="1:8" x14ac:dyDescent="0.2">
      <c r="A1121" s="2" t="s">
        <v>89</v>
      </c>
      <c r="B1121" s="4">
        <v>23</v>
      </c>
      <c r="C1121" s="5">
        <v>3.01</v>
      </c>
      <c r="D1121" s="4">
        <v>14</v>
      </c>
      <c r="E1121" s="5">
        <v>2.97</v>
      </c>
      <c r="F1121" s="4">
        <v>7</v>
      </c>
      <c r="G1121" s="5">
        <v>2.4500000000000002</v>
      </c>
      <c r="H1121" s="4">
        <v>1</v>
      </c>
    </row>
    <row r="1122" spans="1:8" x14ac:dyDescent="0.2">
      <c r="A1122" s="1" t="s">
        <v>70</v>
      </c>
      <c r="B1122" s="4">
        <v>165</v>
      </c>
      <c r="C1122" s="5">
        <v>100.01</v>
      </c>
      <c r="D1122" s="4">
        <v>102</v>
      </c>
      <c r="E1122" s="5">
        <v>99.99</v>
      </c>
      <c r="F1122" s="4">
        <v>62</v>
      </c>
      <c r="G1122" s="5">
        <v>100.00000000000001</v>
      </c>
      <c r="H1122" s="4">
        <v>0</v>
      </c>
    </row>
    <row r="1123" spans="1:8" x14ac:dyDescent="0.2">
      <c r="A1123" s="2" t="s">
        <v>75</v>
      </c>
      <c r="B1123" s="4">
        <v>0</v>
      </c>
      <c r="C1123" s="5">
        <v>0</v>
      </c>
      <c r="D1123" s="4">
        <v>0</v>
      </c>
      <c r="E1123" s="5">
        <v>0</v>
      </c>
      <c r="F1123" s="4">
        <v>0</v>
      </c>
      <c r="G1123" s="5">
        <v>0</v>
      </c>
      <c r="H1123" s="4">
        <v>0</v>
      </c>
    </row>
    <row r="1124" spans="1:8" x14ac:dyDescent="0.2">
      <c r="A1124" s="2" t="s">
        <v>76</v>
      </c>
      <c r="B1124" s="4">
        <v>19</v>
      </c>
      <c r="C1124" s="5">
        <v>11.52</v>
      </c>
      <c r="D1124" s="4">
        <v>9</v>
      </c>
      <c r="E1124" s="5">
        <v>8.82</v>
      </c>
      <c r="F1124" s="4">
        <v>10</v>
      </c>
      <c r="G1124" s="5">
        <v>16.13</v>
      </c>
      <c r="H1124" s="4">
        <v>0</v>
      </c>
    </row>
    <row r="1125" spans="1:8" x14ac:dyDescent="0.2">
      <c r="A1125" s="2" t="s">
        <v>77</v>
      </c>
      <c r="B1125" s="4">
        <v>11</v>
      </c>
      <c r="C1125" s="5">
        <v>6.67</v>
      </c>
      <c r="D1125" s="4">
        <v>4</v>
      </c>
      <c r="E1125" s="5">
        <v>3.92</v>
      </c>
      <c r="F1125" s="4">
        <v>7</v>
      </c>
      <c r="G1125" s="5">
        <v>11.29</v>
      </c>
      <c r="H1125" s="4">
        <v>0</v>
      </c>
    </row>
    <row r="1126" spans="1:8" x14ac:dyDescent="0.2">
      <c r="A1126" s="2" t="s">
        <v>78</v>
      </c>
      <c r="B1126" s="4">
        <v>0</v>
      </c>
      <c r="C1126" s="5">
        <v>0</v>
      </c>
      <c r="D1126" s="4">
        <v>0</v>
      </c>
      <c r="E1126" s="5">
        <v>0</v>
      </c>
      <c r="F1126" s="4">
        <v>0</v>
      </c>
      <c r="G1126" s="5">
        <v>0</v>
      </c>
      <c r="H1126" s="4">
        <v>0</v>
      </c>
    </row>
    <row r="1127" spans="1:8" x14ac:dyDescent="0.2">
      <c r="A1127" s="2" t="s">
        <v>79</v>
      </c>
      <c r="B1127" s="4">
        <v>0</v>
      </c>
      <c r="C1127" s="5">
        <v>0</v>
      </c>
      <c r="D1127" s="4">
        <v>0</v>
      </c>
      <c r="E1127" s="5">
        <v>0</v>
      </c>
      <c r="F1127" s="4">
        <v>0</v>
      </c>
      <c r="G1127" s="5">
        <v>0</v>
      </c>
      <c r="H1127" s="4">
        <v>0</v>
      </c>
    </row>
    <row r="1128" spans="1:8" x14ac:dyDescent="0.2">
      <c r="A1128" s="2" t="s">
        <v>80</v>
      </c>
      <c r="B1128" s="4">
        <v>15</v>
      </c>
      <c r="C1128" s="5">
        <v>9.09</v>
      </c>
      <c r="D1128" s="4">
        <v>0</v>
      </c>
      <c r="E1128" s="5">
        <v>0</v>
      </c>
      <c r="F1128" s="4">
        <v>15</v>
      </c>
      <c r="G1128" s="5">
        <v>24.19</v>
      </c>
      <c r="H1128" s="4">
        <v>0</v>
      </c>
    </row>
    <row r="1129" spans="1:8" x14ac:dyDescent="0.2">
      <c r="A1129" s="2" t="s">
        <v>81</v>
      </c>
      <c r="B1129" s="4">
        <v>44</v>
      </c>
      <c r="C1129" s="5">
        <v>26.67</v>
      </c>
      <c r="D1129" s="4">
        <v>27</v>
      </c>
      <c r="E1129" s="5">
        <v>26.47</v>
      </c>
      <c r="F1129" s="4">
        <v>17</v>
      </c>
      <c r="G1129" s="5">
        <v>27.42</v>
      </c>
      <c r="H1129" s="4">
        <v>0</v>
      </c>
    </row>
    <row r="1130" spans="1:8" x14ac:dyDescent="0.2">
      <c r="A1130" s="2" t="s">
        <v>82</v>
      </c>
      <c r="B1130" s="4">
        <v>0</v>
      </c>
      <c r="C1130" s="5">
        <v>0</v>
      </c>
      <c r="D1130" s="4">
        <v>0</v>
      </c>
      <c r="E1130" s="5">
        <v>0</v>
      </c>
      <c r="F1130" s="4">
        <v>0</v>
      </c>
      <c r="G1130" s="5">
        <v>0</v>
      </c>
      <c r="H1130" s="4">
        <v>0</v>
      </c>
    </row>
    <row r="1131" spans="1:8" x14ac:dyDescent="0.2">
      <c r="A1131" s="2" t="s">
        <v>83</v>
      </c>
      <c r="B1131" s="4">
        <v>20</v>
      </c>
      <c r="C1131" s="5">
        <v>12.12</v>
      </c>
      <c r="D1131" s="4">
        <v>18</v>
      </c>
      <c r="E1131" s="5">
        <v>17.649999999999999</v>
      </c>
      <c r="F1131" s="4">
        <v>2</v>
      </c>
      <c r="G1131" s="5">
        <v>3.23</v>
      </c>
      <c r="H1131" s="4">
        <v>0</v>
      </c>
    </row>
    <row r="1132" spans="1:8" x14ac:dyDescent="0.2">
      <c r="A1132" s="2" t="s">
        <v>84</v>
      </c>
      <c r="B1132" s="4">
        <v>3</v>
      </c>
      <c r="C1132" s="5">
        <v>1.82</v>
      </c>
      <c r="D1132" s="4">
        <v>2</v>
      </c>
      <c r="E1132" s="5">
        <v>1.96</v>
      </c>
      <c r="F1132" s="4">
        <v>1</v>
      </c>
      <c r="G1132" s="5">
        <v>1.61</v>
      </c>
      <c r="H1132" s="4">
        <v>0</v>
      </c>
    </row>
    <row r="1133" spans="1:8" x14ac:dyDescent="0.2">
      <c r="A1133" s="2" t="s">
        <v>85</v>
      </c>
      <c r="B1133" s="4">
        <v>11</v>
      </c>
      <c r="C1133" s="5">
        <v>6.67</v>
      </c>
      <c r="D1133" s="4">
        <v>7</v>
      </c>
      <c r="E1133" s="5">
        <v>6.86</v>
      </c>
      <c r="F1133" s="4">
        <v>4</v>
      </c>
      <c r="G1133" s="5">
        <v>6.45</v>
      </c>
      <c r="H1133" s="4">
        <v>0</v>
      </c>
    </row>
    <row r="1134" spans="1:8" x14ac:dyDescent="0.2">
      <c r="A1134" s="2" t="s">
        <v>86</v>
      </c>
      <c r="B1134" s="4">
        <v>20</v>
      </c>
      <c r="C1134" s="5">
        <v>12.12</v>
      </c>
      <c r="D1134" s="4">
        <v>18</v>
      </c>
      <c r="E1134" s="5">
        <v>17.649999999999999</v>
      </c>
      <c r="F1134" s="4">
        <v>2</v>
      </c>
      <c r="G1134" s="5">
        <v>3.23</v>
      </c>
      <c r="H1134" s="4">
        <v>0</v>
      </c>
    </row>
    <row r="1135" spans="1:8" x14ac:dyDescent="0.2">
      <c r="A1135" s="2" t="s">
        <v>87</v>
      </c>
      <c r="B1135" s="4">
        <v>9</v>
      </c>
      <c r="C1135" s="5">
        <v>5.45</v>
      </c>
      <c r="D1135" s="4">
        <v>9</v>
      </c>
      <c r="E1135" s="5">
        <v>8.82</v>
      </c>
      <c r="F1135" s="4">
        <v>0</v>
      </c>
      <c r="G1135" s="5">
        <v>0</v>
      </c>
      <c r="H1135" s="4">
        <v>0</v>
      </c>
    </row>
    <row r="1136" spans="1:8" x14ac:dyDescent="0.2">
      <c r="A1136" s="2" t="s">
        <v>88</v>
      </c>
      <c r="B1136" s="4">
        <v>7</v>
      </c>
      <c r="C1136" s="5">
        <v>4.24</v>
      </c>
      <c r="D1136" s="4">
        <v>6</v>
      </c>
      <c r="E1136" s="5">
        <v>5.88</v>
      </c>
      <c r="F1136" s="4">
        <v>1</v>
      </c>
      <c r="G1136" s="5">
        <v>1.61</v>
      </c>
      <c r="H1136" s="4">
        <v>0</v>
      </c>
    </row>
    <row r="1137" spans="1:8" x14ac:dyDescent="0.2">
      <c r="A1137" s="2" t="s">
        <v>89</v>
      </c>
      <c r="B1137" s="4">
        <v>6</v>
      </c>
      <c r="C1137" s="5">
        <v>3.64</v>
      </c>
      <c r="D1137" s="4">
        <v>2</v>
      </c>
      <c r="E1137" s="5">
        <v>1.96</v>
      </c>
      <c r="F1137" s="4">
        <v>3</v>
      </c>
      <c r="G1137" s="5">
        <v>4.84</v>
      </c>
      <c r="H1137" s="4">
        <v>0</v>
      </c>
    </row>
    <row r="1138" spans="1:8" x14ac:dyDescent="0.2">
      <c r="A1138" s="1" t="s">
        <v>71</v>
      </c>
      <c r="B1138" s="4">
        <v>237</v>
      </c>
      <c r="C1138" s="5">
        <v>99.98</v>
      </c>
      <c r="D1138" s="4">
        <v>140</v>
      </c>
      <c r="E1138" s="5">
        <v>100.02000000000001</v>
      </c>
      <c r="F1138" s="4">
        <v>93</v>
      </c>
      <c r="G1138" s="5">
        <v>100.00999999999999</v>
      </c>
      <c r="H1138" s="4">
        <v>0</v>
      </c>
    </row>
    <row r="1139" spans="1:8" x14ac:dyDescent="0.2">
      <c r="A1139" s="2" t="s">
        <v>75</v>
      </c>
      <c r="B1139" s="4">
        <v>0</v>
      </c>
      <c r="C1139" s="5">
        <v>0</v>
      </c>
      <c r="D1139" s="4">
        <v>0</v>
      </c>
      <c r="E1139" s="5">
        <v>0</v>
      </c>
      <c r="F1139" s="4">
        <v>0</v>
      </c>
      <c r="G1139" s="5">
        <v>0</v>
      </c>
      <c r="H1139" s="4">
        <v>0</v>
      </c>
    </row>
    <row r="1140" spans="1:8" x14ac:dyDescent="0.2">
      <c r="A1140" s="2" t="s">
        <v>76</v>
      </c>
      <c r="B1140" s="4">
        <v>37</v>
      </c>
      <c r="C1140" s="5">
        <v>15.61</v>
      </c>
      <c r="D1140" s="4">
        <v>9</v>
      </c>
      <c r="E1140" s="5">
        <v>6.43</v>
      </c>
      <c r="F1140" s="4">
        <v>28</v>
      </c>
      <c r="G1140" s="5">
        <v>30.11</v>
      </c>
      <c r="H1140" s="4">
        <v>0</v>
      </c>
    </row>
    <row r="1141" spans="1:8" x14ac:dyDescent="0.2">
      <c r="A1141" s="2" t="s">
        <v>77</v>
      </c>
      <c r="B1141" s="4">
        <v>17</v>
      </c>
      <c r="C1141" s="5">
        <v>7.17</v>
      </c>
      <c r="D1141" s="4">
        <v>9</v>
      </c>
      <c r="E1141" s="5">
        <v>6.43</v>
      </c>
      <c r="F1141" s="4">
        <v>8</v>
      </c>
      <c r="G1141" s="5">
        <v>8.6</v>
      </c>
      <c r="H1141" s="4">
        <v>0</v>
      </c>
    </row>
    <row r="1142" spans="1:8" x14ac:dyDescent="0.2">
      <c r="A1142" s="2" t="s">
        <v>78</v>
      </c>
      <c r="B1142" s="4">
        <v>1</v>
      </c>
      <c r="C1142" s="5">
        <v>0.42</v>
      </c>
      <c r="D1142" s="4">
        <v>0</v>
      </c>
      <c r="E1142" s="5">
        <v>0</v>
      </c>
      <c r="F1142" s="4">
        <v>1</v>
      </c>
      <c r="G1142" s="5">
        <v>1.08</v>
      </c>
      <c r="H1142" s="4">
        <v>0</v>
      </c>
    </row>
    <row r="1143" spans="1:8" x14ac:dyDescent="0.2">
      <c r="A1143" s="2" t="s">
        <v>79</v>
      </c>
      <c r="B1143" s="4">
        <v>1</v>
      </c>
      <c r="C1143" s="5">
        <v>0.42</v>
      </c>
      <c r="D1143" s="4">
        <v>0</v>
      </c>
      <c r="E1143" s="5">
        <v>0</v>
      </c>
      <c r="F1143" s="4">
        <v>1</v>
      </c>
      <c r="G1143" s="5">
        <v>1.08</v>
      </c>
      <c r="H1143" s="4">
        <v>0</v>
      </c>
    </row>
    <row r="1144" spans="1:8" x14ac:dyDescent="0.2">
      <c r="A1144" s="2" t="s">
        <v>80</v>
      </c>
      <c r="B1144" s="4">
        <v>1</v>
      </c>
      <c r="C1144" s="5">
        <v>0.42</v>
      </c>
      <c r="D1144" s="4">
        <v>0</v>
      </c>
      <c r="E1144" s="5">
        <v>0</v>
      </c>
      <c r="F1144" s="4">
        <v>0</v>
      </c>
      <c r="G1144" s="5">
        <v>0</v>
      </c>
      <c r="H1144" s="4">
        <v>0</v>
      </c>
    </row>
    <row r="1145" spans="1:8" x14ac:dyDescent="0.2">
      <c r="A1145" s="2" t="s">
        <v>81</v>
      </c>
      <c r="B1145" s="4">
        <v>72</v>
      </c>
      <c r="C1145" s="5">
        <v>30.38</v>
      </c>
      <c r="D1145" s="4">
        <v>43</v>
      </c>
      <c r="E1145" s="5">
        <v>30.71</v>
      </c>
      <c r="F1145" s="4">
        <v>29</v>
      </c>
      <c r="G1145" s="5">
        <v>31.18</v>
      </c>
      <c r="H1145" s="4">
        <v>0</v>
      </c>
    </row>
    <row r="1146" spans="1:8" x14ac:dyDescent="0.2">
      <c r="A1146" s="2" t="s">
        <v>82</v>
      </c>
      <c r="B1146" s="4">
        <v>0</v>
      </c>
      <c r="C1146" s="5">
        <v>0</v>
      </c>
      <c r="D1146" s="4">
        <v>0</v>
      </c>
      <c r="E1146" s="5">
        <v>0</v>
      </c>
      <c r="F1146" s="4">
        <v>0</v>
      </c>
      <c r="G1146" s="5">
        <v>0</v>
      </c>
      <c r="H1146" s="4">
        <v>0</v>
      </c>
    </row>
    <row r="1147" spans="1:8" x14ac:dyDescent="0.2">
      <c r="A1147" s="2" t="s">
        <v>83</v>
      </c>
      <c r="B1147" s="4">
        <v>17</v>
      </c>
      <c r="C1147" s="5">
        <v>7.17</v>
      </c>
      <c r="D1147" s="4">
        <v>11</v>
      </c>
      <c r="E1147" s="5">
        <v>7.86</v>
      </c>
      <c r="F1147" s="4">
        <v>6</v>
      </c>
      <c r="G1147" s="5">
        <v>6.45</v>
      </c>
      <c r="H1147" s="4">
        <v>0</v>
      </c>
    </row>
    <row r="1148" spans="1:8" x14ac:dyDescent="0.2">
      <c r="A1148" s="2" t="s">
        <v>84</v>
      </c>
      <c r="B1148" s="4">
        <v>9</v>
      </c>
      <c r="C1148" s="5">
        <v>3.8</v>
      </c>
      <c r="D1148" s="4">
        <v>2</v>
      </c>
      <c r="E1148" s="5">
        <v>1.43</v>
      </c>
      <c r="F1148" s="4">
        <v>7</v>
      </c>
      <c r="G1148" s="5">
        <v>7.53</v>
      </c>
      <c r="H1148" s="4">
        <v>0</v>
      </c>
    </row>
    <row r="1149" spans="1:8" x14ac:dyDescent="0.2">
      <c r="A1149" s="2" t="s">
        <v>85</v>
      </c>
      <c r="B1149" s="4">
        <v>28</v>
      </c>
      <c r="C1149" s="5">
        <v>11.81</v>
      </c>
      <c r="D1149" s="4">
        <v>27</v>
      </c>
      <c r="E1149" s="5">
        <v>19.29</v>
      </c>
      <c r="F1149" s="4">
        <v>1</v>
      </c>
      <c r="G1149" s="5">
        <v>1.08</v>
      </c>
      <c r="H1149" s="4">
        <v>0</v>
      </c>
    </row>
    <row r="1150" spans="1:8" x14ac:dyDescent="0.2">
      <c r="A1150" s="2" t="s">
        <v>86</v>
      </c>
      <c r="B1150" s="4">
        <v>26</v>
      </c>
      <c r="C1150" s="5">
        <v>10.97</v>
      </c>
      <c r="D1150" s="4">
        <v>20</v>
      </c>
      <c r="E1150" s="5">
        <v>14.29</v>
      </c>
      <c r="F1150" s="4">
        <v>4</v>
      </c>
      <c r="G1150" s="5">
        <v>4.3</v>
      </c>
      <c r="H1150" s="4">
        <v>0</v>
      </c>
    </row>
    <row r="1151" spans="1:8" x14ac:dyDescent="0.2">
      <c r="A1151" s="2" t="s">
        <v>87</v>
      </c>
      <c r="B1151" s="4">
        <v>7</v>
      </c>
      <c r="C1151" s="5">
        <v>2.95</v>
      </c>
      <c r="D1151" s="4">
        <v>6</v>
      </c>
      <c r="E1151" s="5">
        <v>4.29</v>
      </c>
      <c r="F1151" s="4">
        <v>0</v>
      </c>
      <c r="G1151" s="5">
        <v>0</v>
      </c>
      <c r="H1151" s="4">
        <v>0</v>
      </c>
    </row>
    <row r="1152" spans="1:8" x14ac:dyDescent="0.2">
      <c r="A1152" s="2" t="s">
        <v>88</v>
      </c>
      <c r="B1152" s="4">
        <v>11</v>
      </c>
      <c r="C1152" s="5">
        <v>4.6399999999999997</v>
      </c>
      <c r="D1152" s="4">
        <v>7</v>
      </c>
      <c r="E1152" s="5">
        <v>5</v>
      </c>
      <c r="F1152" s="4">
        <v>4</v>
      </c>
      <c r="G1152" s="5">
        <v>4.3</v>
      </c>
      <c r="H1152" s="4">
        <v>0</v>
      </c>
    </row>
    <row r="1153" spans="1:8" x14ac:dyDescent="0.2">
      <c r="A1153" s="2" t="s">
        <v>89</v>
      </c>
      <c r="B1153" s="4">
        <v>10</v>
      </c>
      <c r="C1153" s="5">
        <v>4.22</v>
      </c>
      <c r="D1153" s="4">
        <v>6</v>
      </c>
      <c r="E1153" s="5">
        <v>4.29</v>
      </c>
      <c r="F1153" s="4">
        <v>4</v>
      </c>
      <c r="G1153" s="5">
        <v>4.3</v>
      </c>
      <c r="H1153" s="4">
        <v>0</v>
      </c>
    </row>
    <row r="1154" spans="1:8" x14ac:dyDescent="0.2">
      <c r="A1154" s="1" t="s">
        <v>72</v>
      </c>
      <c r="B1154" s="4">
        <v>236</v>
      </c>
      <c r="C1154" s="5">
        <v>99.99</v>
      </c>
      <c r="D1154" s="4">
        <v>135</v>
      </c>
      <c r="E1154" s="5">
        <v>100</v>
      </c>
      <c r="F1154" s="4">
        <v>98</v>
      </c>
      <c r="G1154" s="5">
        <v>99.99</v>
      </c>
      <c r="H1154" s="4">
        <v>1</v>
      </c>
    </row>
    <row r="1155" spans="1:8" x14ac:dyDescent="0.2">
      <c r="A1155" s="2" t="s">
        <v>75</v>
      </c>
      <c r="B1155" s="4">
        <v>0</v>
      </c>
      <c r="C1155" s="5">
        <v>0</v>
      </c>
      <c r="D1155" s="4">
        <v>0</v>
      </c>
      <c r="E1155" s="5">
        <v>0</v>
      </c>
      <c r="F1155" s="4">
        <v>0</v>
      </c>
      <c r="G1155" s="5">
        <v>0</v>
      </c>
      <c r="H1155" s="4">
        <v>0</v>
      </c>
    </row>
    <row r="1156" spans="1:8" x14ac:dyDescent="0.2">
      <c r="A1156" s="2" t="s">
        <v>76</v>
      </c>
      <c r="B1156" s="4">
        <v>49</v>
      </c>
      <c r="C1156" s="5">
        <v>20.76</v>
      </c>
      <c r="D1156" s="4">
        <v>14</v>
      </c>
      <c r="E1156" s="5">
        <v>10.37</v>
      </c>
      <c r="F1156" s="4">
        <v>35</v>
      </c>
      <c r="G1156" s="5">
        <v>35.71</v>
      </c>
      <c r="H1156" s="4">
        <v>0</v>
      </c>
    </row>
    <row r="1157" spans="1:8" x14ac:dyDescent="0.2">
      <c r="A1157" s="2" t="s">
        <v>77</v>
      </c>
      <c r="B1157" s="4">
        <v>35</v>
      </c>
      <c r="C1157" s="5">
        <v>14.83</v>
      </c>
      <c r="D1157" s="4">
        <v>14</v>
      </c>
      <c r="E1157" s="5">
        <v>10.37</v>
      </c>
      <c r="F1157" s="4">
        <v>21</v>
      </c>
      <c r="G1157" s="5">
        <v>21.43</v>
      </c>
      <c r="H1157" s="4">
        <v>0</v>
      </c>
    </row>
    <row r="1158" spans="1:8" x14ac:dyDescent="0.2">
      <c r="A1158" s="2" t="s">
        <v>78</v>
      </c>
      <c r="B1158" s="4">
        <v>0</v>
      </c>
      <c r="C1158" s="5">
        <v>0</v>
      </c>
      <c r="D1158" s="4">
        <v>0</v>
      </c>
      <c r="E1158" s="5">
        <v>0</v>
      </c>
      <c r="F1158" s="4">
        <v>0</v>
      </c>
      <c r="G1158" s="5">
        <v>0</v>
      </c>
      <c r="H1158" s="4">
        <v>0</v>
      </c>
    </row>
    <row r="1159" spans="1:8" x14ac:dyDescent="0.2">
      <c r="A1159" s="2" t="s">
        <v>79</v>
      </c>
      <c r="B1159" s="4">
        <v>1</v>
      </c>
      <c r="C1159" s="5">
        <v>0.42</v>
      </c>
      <c r="D1159" s="4">
        <v>0</v>
      </c>
      <c r="E1159" s="5">
        <v>0</v>
      </c>
      <c r="F1159" s="4">
        <v>1</v>
      </c>
      <c r="G1159" s="5">
        <v>1.02</v>
      </c>
      <c r="H1159" s="4">
        <v>0</v>
      </c>
    </row>
    <row r="1160" spans="1:8" x14ac:dyDescent="0.2">
      <c r="A1160" s="2" t="s">
        <v>80</v>
      </c>
      <c r="B1160" s="4">
        <v>1</v>
      </c>
      <c r="C1160" s="5">
        <v>0.42</v>
      </c>
      <c r="D1160" s="4">
        <v>0</v>
      </c>
      <c r="E1160" s="5">
        <v>0</v>
      </c>
      <c r="F1160" s="4">
        <v>1</v>
      </c>
      <c r="G1160" s="5">
        <v>1.02</v>
      </c>
      <c r="H1160" s="4">
        <v>0</v>
      </c>
    </row>
    <row r="1161" spans="1:8" x14ac:dyDescent="0.2">
      <c r="A1161" s="2" t="s">
        <v>81</v>
      </c>
      <c r="B1161" s="4">
        <v>43</v>
      </c>
      <c r="C1161" s="5">
        <v>18.22</v>
      </c>
      <c r="D1161" s="4">
        <v>26</v>
      </c>
      <c r="E1161" s="5">
        <v>19.260000000000002</v>
      </c>
      <c r="F1161" s="4">
        <v>16</v>
      </c>
      <c r="G1161" s="5">
        <v>16.329999999999998</v>
      </c>
      <c r="H1161" s="4">
        <v>1</v>
      </c>
    </row>
    <row r="1162" spans="1:8" x14ac:dyDescent="0.2">
      <c r="A1162" s="2" t="s">
        <v>82</v>
      </c>
      <c r="B1162" s="4">
        <v>0</v>
      </c>
      <c r="C1162" s="5">
        <v>0</v>
      </c>
      <c r="D1162" s="4">
        <v>0</v>
      </c>
      <c r="E1162" s="5">
        <v>0</v>
      </c>
      <c r="F1162" s="4">
        <v>0</v>
      </c>
      <c r="G1162" s="5">
        <v>0</v>
      </c>
      <c r="H1162" s="4">
        <v>0</v>
      </c>
    </row>
    <row r="1163" spans="1:8" x14ac:dyDescent="0.2">
      <c r="A1163" s="2" t="s">
        <v>83</v>
      </c>
      <c r="B1163" s="4">
        <v>36</v>
      </c>
      <c r="C1163" s="5">
        <v>15.25</v>
      </c>
      <c r="D1163" s="4">
        <v>27</v>
      </c>
      <c r="E1163" s="5">
        <v>20</v>
      </c>
      <c r="F1163" s="4">
        <v>9</v>
      </c>
      <c r="G1163" s="5">
        <v>9.18</v>
      </c>
      <c r="H1163" s="4">
        <v>0</v>
      </c>
    </row>
    <row r="1164" spans="1:8" x14ac:dyDescent="0.2">
      <c r="A1164" s="2" t="s">
        <v>84</v>
      </c>
      <c r="B1164" s="4">
        <v>9</v>
      </c>
      <c r="C1164" s="5">
        <v>3.81</v>
      </c>
      <c r="D1164" s="4">
        <v>2</v>
      </c>
      <c r="E1164" s="5">
        <v>1.48</v>
      </c>
      <c r="F1164" s="4">
        <v>7</v>
      </c>
      <c r="G1164" s="5">
        <v>7.14</v>
      </c>
      <c r="H1164" s="4">
        <v>0</v>
      </c>
    </row>
    <row r="1165" spans="1:8" x14ac:dyDescent="0.2">
      <c r="A1165" s="2" t="s">
        <v>85</v>
      </c>
      <c r="B1165" s="4">
        <v>15</v>
      </c>
      <c r="C1165" s="5">
        <v>6.36</v>
      </c>
      <c r="D1165" s="4">
        <v>14</v>
      </c>
      <c r="E1165" s="5">
        <v>10.37</v>
      </c>
      <c r="F1165" s="4">
        <v>0</v>
      </c>
      <c r="G1165" s="5">
        <v>0</v>
      </c>
      <c r="H1165" s="4">
        <v>0</v>
      </c>
    </row>
    <row r="1166" spans="1:8" x14ac:dyDescent="0.2">
      <c r="A1166" s="2" t="s">
        <v>86</v>
      </c>
      <c r="B1166" s="4">
        <v>15</v>
      </c>
      <c r="C1166" s="5">
        <v>6.36</v>
      </c>
      <c r="D1166" s="4">
        <v>14</v>
      </c>
      <c r="E1166" s="5">
        <v>10.37</v>
      </c>
      <c r="F1166" s="4">
        <v>1</v>
      </c>
      <c r="G1166" s="5">
        <v>1.02</v>
      </c>
      <c r="H1166" s="4">
        <v>0</v>
      </c>
    </row>
    <row r="1167" spans="1:8" x14ac:dyDescent="0.2">
      <c r="A1167" s="2" t="s">
        <v>87</v>
      </c>
      <c r="B1167" s="4">
        <v>11</v>
      </c>
      <c r="C1167" s="5">
        <v>4.66</v>
      </c>
      <c r="D1167" s="4">
        <v>9</v>
      </c>
      <c r="E1167" s="5">
        <v>6.67</v>
      </c>
      <c r="F1167" s="4">
        <v>1</v>
      </c>
      <c r="G1167" s="5">
        <v>1.02</v>
      </c>
      <c r="H1167" s="4">
        <v>0</v>
      </c>
    </row>
    <row r="1168" spans="1:8" x14ac:dyDescent="0.2">
      <c r="A1168" s="2" t="s">
        <v>88</v>
      </c>
      <c r="B1168" s="4">
        <v>11</v>
      </c>
      <c r="C1168" s="5">
        <v>4.66</v>
      </c>
      <c r="D1168" s="4">
        <v>9</v>
      </c>
      <c r="E1168" s="5">
        <v>6.67</v>
      </c>
      <c r="F1168" s="4">
        <v>2</v>
      </c>
      <c r="G1168" s="5">
        <v>2.04</v>
      </c>
      <c r="H1168" s="4">
        <v>0</v>
      </c>
    </row>
    <row r="1169" spans="1:8" x14ac:dyDescent="0.2">
      <c r="A1169" s="2" t="s">
        <v>89</v>
      </c>
      <c r="B1169" s="4">
        <v>10</v>
      </c>
      <c r="C1169" s="5">
        <v>4.24</v>
      </c>
      <c r="D1169" s="4">
        <v>6</v>
      </c>
      <c r="E1169" s="5">
        <v>4.4400000000000004</v>
      </c>
      <c r="F1169" s="4">
        <v>4</v>
      </c>
      <c r="G1169" s="5">
        <v>4.08</v>
      </c>
      <c r="H1169" s="4">
        <v>0</v>
      </c>
    </row>
    <row r="1170" spans="1:8" x14ac:dyDescent="0.2">
      <c r="A1170" s="1" t="s">
        <v>73</v>
      </c>
      <c r="B1170" s="4">
        <v>325</v>
      </c>
      <c r="C1170" s="5">
        <v>99.98</v>
      </c>
      <c r="D1170" s="4">
        <v>179</v>
      </c>
      <c r="E1170" s="5">
        <v>99.999999999999986</v>
      </c>
      <c r="F1170" s="4">
        <v>143</v>
      </c>
      <c r="G1170" s="5">
        <v>100.02</v>
      </c>
      <c r="H1170" s="4">
        <v>0</v>
      </c>
    </row>
    <row r="1171" spans="1:8" x14ac:dyDescent="0.2">
      <c r="A1171" s="2" t="s">
        <v>75</v>
      </c>
      <c r="B1171" s="4">
        <v>0</v>
      </c>
      <c r="C1171" s="5">
        <v>0</v>
      </c>
      <c r="D1171" s="4">
        <v>0</v>
      </c>
      <c r="E1171" s="5">
        <v>0</v>
      </c>
      <c r="F1171" s="4">
        <v>0</v>
      </c>
      <c r="G1171" s="5">
        <v>0</v>
      </c>
      <c r="H1171" s="4">
        <v>0</v>
      </c>
    </row>
    <row r="1172" spans="1:8" x14ac:dyDescent="0.2">
      <c r="A1172" s="2" t="s">
        <v>76</v>
      </c>
      <c r="B1172" s="4">
        <v>65</v>
      </c>
      <c r="C1172" s="5">
        <v>20</v>
      </c>
      <c r="D1172" s="4">
        <v>21</v>
      </c>
      <c r="E1172" s="5">
        <v>11.73</v>
      </c>
      <c r="F1172" s="4">
        <v>44</v>
      </c>
      <c r="G1172" s="5">
        <v>30.77</v>
      </c>
      <c r="H1172" s="4">
        <v>0</v>
      </c>
    </row>
    <row r="1173" spans="1:8" x14ac:dyDescent="0.2">
      <c r="A1173" s="2" t="s">
        <v>77</v>
      </c>
      <c r="B1173" s="4">
        <v>46</v>
      </c>
      <c r="C1173" s="5">
        <v>14.15</v>
      </c>
      <c r="D1173" s="4">
        <v>20</v>
      </c>
      <c r="E1173" s="5">
        <v>11.17</v>
      </c>
      <c r="F1173" s="4">
        <v>26</v>
      </c>
      <c r="G1173" s="5">
        <v>18.18</v>
      </c>
      <c r="H1173" s="4">
        <v>0</v>
      </c>
    </row>
    <row r="1174" spans="1:8" x14ac:dyDescent="0.2">
      <c r="A1174" s="2" t="s">
        <v>78</v>
      </c>
      <c r="B1174" s="4">
        <v>1</v>
      </c>
      <c r="C1174" s="5">
        <v>0.31</v>
      </c>
      <c r="D1174" s="4">
        <v>0</v>
      </c>
      <c r="E1174" s="5">
        <v>0</v>
      </c>
      <c r="F1174" s="4">
        <v>0</v>
      </c>
      <c r="G1174" s="5">
        <v>0</v>
      </c>
      <c r="H1174" s="4">
        <v>0</v>
      </c>
    </row>
    <row r="1175" spans="1:8" x14ac:dyDescent="0.2">
      <c r="A1175" s="2" t="s">
        <v>79</v>
      </c>
      <c r="B1175" s="4">
        <v>4</v>
      </c>
      <c r="C1175" s="5">
        <v>1.23</v>
      </c>
      <c r="D1175" s="4">
        <v>1</v>
      </c>
      <c r="E1175" s="5">
        <v>0.56000000000000005</v>
      </c>
      <c r="F1175" s="4">
        <v>3</v>
      </c>
      <c r="G1175" s="5">
        <v>2.1</v>
      </c>
      <c r="H1175" s="4">
        <v>0</v>
      </c>
    </row>
    <row r="1176" spans="1:8" x14ac:dyDescent="0.2">
      <c r="A1176" s="2" t="s">
        <v>80</v>
      </c>
      <c r="B1176" s="4">
        <v>4</v>
      </c>
      <c r="C1176" s="5">
        <v>1.23</v>
      </c>
      <c r="D1176" s="4">
        <v>1</v>
      </c>
      <c r="E1176" s="5">
        <v>0.56000000000000005</v>
      </c>
      <c r="F1176" s="4">
        <v>3</v>
      </c>
      <c r="G1176" s="5">
        <v>2.1</v>
      </c>
      <c r="H1176" s="4">
        <v>0</v>
      </c>
    </row>
    <row r="1177" spans="1:8" x14ac:dyDescent="0.2">
      <c r="A1177" s="2" t="s">
        <v>81</v>
      </c>
      <c r="B1177" s="4">
        <v>63</v>
      </c>
      <c r="C1177" s="5">
        <v>19.38</v>
      </c>
      <c r="D1177" s="4">
        <v>34</v>
      </c>
      <c r="E1177" s="5">
        <v>18.989999999999998</v>
      </c>
      <c r="F1177" s="4">
        <v>29</v>
      </c>
      <c r="G1177" s="5">
        <v>20.28</v>
      </c>
      <c r="H1177" s="4">
        <v>0</v>
      </c>
    </row>
    <row r="1178" spans="1:8" x14ac:dyDescent="0.2">
      <c r="A1178" s="2" t="s">
        <v>82</v>
      </c>
      <c r="B1178" s="4">
        <v>3</v>
      </c>
      <c r="C1178" s="5">
        <v>0.92</v>
      </c>
      <c r="D1178" s="4">
        <v>0</v>
      </c>
      <c r="E1178" s="5">
        <v>0</v>
      </c>
      <c r="F1178" s="4">
        <v>3</v>
      </c>
      <c r="G1178" s="5">
        <v>2.1</v>
      </c>
      <c r="H1178" s="4">
        <v>0</v>
      </c>
    </row>
    <row r="1179" spans="1:8" x14ac:dyDescent="0.2">
      <c r="A1179" s="2" t="s">
        <v>83</v>
      </c>
      <c r="B1179" s="4">
        <v>57</v>
      </c>
      <c r="C1179" s="5">
        <v>17.54</v>
      </c>
      <c r="D1179" s="4">
        <v>41</v>
      </c>
      <c r="E1179" s="5">
        <v>22.91</v>
      </c>
      <c r="F1179" s="4">
        <v>16</v>
      </c>
      <c r="G1179" s="5">
        <v>11.19</v>
      </c>
      <c r="H1179" s="4">
        <v>0</v>
      </c>
    </row>
    <row r="1180" spans="1:8" x14ac:dyDescent="0.2">
      <c r="A1180" s="2" t="s">
        <v>84</v>
      </c>
      <c r="B1180" s="4">
        <v>7</v>
      </c>
      <c r="C1180" s="5">
        <v>2.15</v>
      </c>
      <c r="D1180" s="4">
        <v>3</v>
      </c>
      <c r="E1180" s="5">
        <v>1.68</v>
      </c>
      <c r="F1180" s="4">
        <v>4</v>
      </c>
      <c r="G1180" s="5">
        <v>2.8</v>
      </c>
      <c r="H1180" s="4">
        <v>0</v>
      </c>
    </row>
    <row r="1181" spans="1:8" x14ac:dyDescent="0.2">
      <c r="A1181" s="2" t="s">
        <v>85</v>
      </c>
      <c r="B1181" s="4">
        <v>20</v>
      </c>
      <c r="C1181" s="5">
        <v>6.15</v>
      </c>
      <c r="D1181" s="4">
        <v>17</v>
      </c>
      <c r="E1181" s="5">
        <v>9.5</v>
      </c>
      <c r="F1181" s="4">
        <v>3</v>
      </c>
      <c r="G1181" s="5">
        <v>2.1</v>
      </c>
      <c r="H1181" s="4">
        <v>0</v>
      </c>
    </row>
    <row r="1182" spans="1:8" x14ac:dyDescent="0.2">
      <c r="A1182" s="2" t="s">
        <v>86</v>
      </c>
      <c r="B1182" s="4">
        <v>23</v>
      </c>
      <c r="C1182" s="5">
        <v>7.08</v>
      </c>
      <c r="D1182" s="4">
        <v>20</v>
      </c>
      <c r="E1182" s="5">
        <v>11.17</v>
      </c>
      <c r="F1182" s="4">
        <v>2</v>
      </c>
      <c r="G1182" s="5">
        <v>1.4</v>
      </c>
      <c r="H1182" s="4">
        <v>0</v>
      </c>
    </row>
    <row r="1183" spans="1:8" x14ac:dyDescent="0.2">
      <c r="A1183" s="2" t="s">
        <v>87</v>
      </c>
      <c r="B1183" s="4">
        <v>12</v>
      </c>
      <c r="C1183" s="5">
        <v>3.69</v>
      </c>
      <c r="D1183" s="4">
        <v>8</v>
      </c>
      <c r="E1183" s="5">
        <v>4.47</v>
      </c>
      <c r="F1183" s="4">
        <v>3</v>
      </c>
      <c r="G1183" s="5">
        <v>2.1</v>
      </c>
      <c r="H1183" s="4">
        <v>0</v>
      </c>
    </row>
    <row r="1184" spans="1:8" x14ac:dyDescent="0.2">
      <c r="A1184" s="2" t="s">
        <v>88</v>
      </c>
      <c r="B1184" s="4">
        <v>7</v>
      </c>
      <c r="C1184" s="5">
        <v>2.15</v>
      </c>
      <c r="D1184" s="4">
        <v>6</v>
      </c>
      <c r="E1184" s="5">
        <v>3.35</v>
      </c>
      <c r="F1184" s="4">
        <v>1</v>
      </c>
      <c r="G1184" s="5">
        <v>0.7</v>
      </c>
      <c r="H1184" s="4">
        <v>0</v>
      </c>
    </row>
    <row r="1185" spans="1:8" x14ac:dyDescent="0.2">
      <c r="A1185" s="2" t="s">
        <v>89</v>
      </c>
      <c r="B1185" s="4">
        <v>13</v>
      </c>
      <c r="C1185" s="5">
        <v>4</v>
      </c>
      <c r="D1185" s="4">
        <v>7</v>
      </c>
      <c r="E1185" s="5">
        <v>3.91</v>
      </c>
      <c r="F1185" s="4">
        <v>6</v>
      </c>
      <c r="G1185" s="5">
        <v>4.2</v>
      </c>
      <c r="H1185" s="4">
        <v>0</v>
      </c>
    </row>
    <row r="1186" spans="1:8" x14ac:dyDescent="0.2">
      <c r="A1186" s="1" t="s">
        <v>74</v>
      </c>
      <c r="B1186" s="4">
        <v>119</v>
      </c>
      <c r="C1186" s="5">
        <v>99.990000000000038</v>
      </c>
      <c r="D1186" s="4">
        <v>64</v>
      </c>
      <c r="E1186" s="5">
        <v>100.02</v>
      </c>
      <c r="F1186" s="4">
        <v>53</v>
      </c>
      <c r="G1186" s="5">
        <v>100.01000000000002</v>
      </c>
      <c r="H1186" s="4">
        <v>1</v>
      </c>
    </row>
    <row r="1187" spans="1:8" x14ac:dyDescent="0.2">
      <c r="A1187" s="2" t="s">
        <v>75</v>
      </c>
      <c r="B1187" s="4">
        <v>0</v>
      </c>
      <c r="C1187" s="5">
        <v>0</v>
      </c>
      <c r="D1187" s="4">
        <v>0</v>
      </c>
      <c r="E1187" s="5">
        <v>0</v>
      </c>
      <c r="F1187" s="4">
        <v>0</v>
      </c>
      <c r="G1187" s="5">
        <v>0</v>
      </c>
      <c r="H1187" s="4">
        <v>0</v>
      </c>
    </row>
    <row r="1188" spans="1:8" x14ac:dyDescent="0.2">
      <c r="A1188" s="2" t="s">
        <v>76</v>
      </c>
      <c r="B1188" s="4">
        <v>24</v>
      </c>
      <c r="C1188" s="5">
        <v>20.170000000000002</v>
      </c>
      <c r="D1188" s="4">
        <v>11</v>
      </c>
      <c r="E1188" s="5">
        <v>17.190000000000001</v>
      </c>
      <c r="F1188" s="4">
        <v>13</v>
      </c>
      <c r="G1188" s="5">
        <v>24.53</v>
      </c>
      <c r="H1188" s="4">
        <v>0</v>
      </c>
    </row>
    <row r="1189" spans="1:8" x14ac:dyDescent="0.2">
      <c r="A1189" s="2" t="s">
        <v>77</v>
      </c>
      <c r="B1189" s="4">
        <v>29</v>
      </c>
      <c r="C1189" s="5">
        <v>24.37</v>
      </c>
      <c r="D1189" s="4">
        <v>16</v>
      </c>
      <c r="E1189" s="5">
        <v>25</v>
      </c>
      <c r="F1189" s="4">
        <v>13</v>
      </c>
      <c r="G1189" s="5">
        <v>24.53</v>
      </c>
      <c r="H1189" s="4">
        <v>0</v>
      </c>
    </row>
    <row r="1190" spans="1:8" x14ac:dyDescent="0.2">
      <c r="A1190" s="2" t="s">
        <v>78</v>
      </c>
      <c r="B1190" s="4">
        <v>0</v>
      </c>
      <c r="C1190" s="5">
        <v>0</v>
      </c>
      <c r="D1190" s="4">
        <v>0</v>
      </c>
      <c r="E1190" s="5">
        <v>0</v>
      </c>
      <c r="F1190" s="4">
        <v>0</v>
      </c>
      <c r="G1190" s="5">
        <v>0</v>
      </c>
      <c r="H1190" s="4">
        <v>0</v>
      </c>
    </row>
    <row r="1191" spans="1:8" x14ac:dyDescent="0.2">
      <c r="A1191" s="2" t="s">
        <v>79</v>
      </c>
      <c r="B1191" s="4">
        <v>0</v>
      </c>
      <c r="C1191" s="5">
        <v>0</v>
      </c>
      <c r="D1191" s="4">
        <v>0</v>
      </c>
      <c r="E1191" s="5">
        <v>0</v>
      </c>
      <c r="F1191" s="4">
        <v>0</v>
      </c>
      <c r="G1191" s="5">
        <v>0</v>
      </c>
      <c r="H1191" s="4">
        <v>0</v>
      </c>
    </row>
    <row r="1192" spans="1:8" x14ac:dyDescent="0.2">
      <c r="A1192" s="2" t="s">
        <v>80</v>
      </c>
      <c r="B1192" s="4">
        <v>3</v>
      </c>
      <c r="C1192" s="5">
        <v>2.52</v>
      </c>
      <c r="D1192" s="4">
        <v>1</v>
      </c>
      <c r="E1192" s="5">
        <v>1.56</v>
      </c>
      <c r="F1192" s="4">
        <v>2</v>
      </c>
      <c r="G1192" s="5">
        <v>3.77</v>
      </c>
      <c r="H1192" s="4">
        <v>0</v>
      </c>
    </row>
    <row r="1193" spans="1:8" x14ac:dyDescent="0.2">
      <c r="A1193" s="2" t="s">
        <v>81</v>
      </c>
      <c r="B1193" s="4">
        <v>23</v>
      </c>
      <c r="C1193" s="5">
        <v>19.329999999999998</v>
      </c>
      <c r="D1193" s="4">
        <v>10</v>
      </c>
      <c r="E1193" s="5">
        <v>15.63</v>
      </c>
      <c r="F1193" s="4">
        <v>13</v>
      </c>
      <c r="G1193" s="5">
        <v>24.53</v>
      </c>
      <c r="H1193" s="4">
        <v>0</v>
      </c>
    </row>
    <row r="1194" spans="1:8" x14ac:dyDescent="0.2">
      <c r="A1194" s="2" t="s">
        <v>82</v>
      </c>
      <c r="B1194" s="4">
        <v>0</v>
      </c>
      <c r="C1194" s="5">
        <v>0</v>
      </c>
      <c r="D1194" s="4">
        <v>0</v>
      </c>
      <c r="E1194" s="5">
        <v>0</v>
      </c>
      <c r="F1194" s="4">
        <v>0</v>
      </c>
      <c r="G1194" s="5">
        <v>0</v>
      </c>
      <c r="H1194" s="4">
        <v>0</v>
      </c>
    </row>
    <row r="1195" spans="1:8" x14ac:dyDescent="0.2">
      <c r="A1195" s="2" t="s">
        <v>83</v>
      </c>
      <c r="B1195" s="4">
        <v>13</v>
      </c>
      <c r="C1195" s="5">
        <v>10.92</v>
      </c>
      <c r="D1195" s="4">
        <v>6</v>
      </c>
      <c r="E1195" s="5">
        <v>9.3800000000000008</v>
      </c>
      <c r="F1195" s="4">
        <v>7</v>
      </c>
      <c r="G1195" s="5">
        <v>13.21</v>
      </c>
      <c r="H1195" s="4">
        <v>0</v>
      </c>
    </row>
    <row r="1196" spans="1:8" x14ac:dyDescent="0.2">
      <c r="A1196" s="2" t="s">
        <v>84</v>
      </c>
      <c r="B1196" s="4">
        <v>0</v>
      </c>
      <c r="C1196" s="5">
        <v>0</v>
      </c>
      <c r="D1196" s="4">
        <v>0</v>
      </c>
      <c r="E1196" s="5">
        <v>0</v>
      </c>
      <c r="F1196" s="4">
        <v>0</v>
      </c>
      <c r="G1196" s="5">
        <v>0</v>
      </c>
      <c r="H1196" s="4">
        <v>0</v>
      </c>
    </row>
    <row r="1197" spans="1:8" x14ac:dyDescent="0.2">
      <c r="A1197" s="2" t="s">
        <v>85</v>
      </c>
      <c r="B1197" s="4">
        <v>9</v>
      </c>
      <c r="C1197" s="5">
        <v>7.56</v>
      </c>
      <c r="D1197" s="4">
        <v>8</v>
      </c>
      <c r="E1197" s="5">
        <v>12.5</v>
      </c>
      <c r="F1197" s="4">
        <v>0</v>
      </c>
      <c r="G1197" s="5">
        <v>0</v>
      </c>
      <c r="H1197" s="4">
        <v>0</v>
      </c>
    </row>
    <row r="1198" spans="1:8" x14ac:dyDescent="0.2">
      <c r="A1198" s="2" t="s">
        <v>86</v>
      </c>
      <c r="B1198" s="4">
        <v>5</v>
      </c>
      <c r="C1198" s="5">
        <v>4.2</v>
      </c>
      <c r="D1198" s="4">
        <v>4</v>
      </c>
      <c r="E1198" s="5">
        <v>6.25</v>
      </c>
      <c r="F1198" s="4">
        <v>1</v>
      </c>
      <c r="G1198" s="5">
        <v>1.89</v>
      </c>
      <c r="H1198" s="4">
        <v>0</v>
      </c>
    </row>
    <row r="1199" spans="1:8" x14ac:dyDescent="0.2">
      <c r="A1199" s="2" t="s">
        <v>87</v>
      </c>
      <c r="B1199" s="4">
        <v>5</v>
      </c>
      <c r="C1199" s="5">
        <v>4.2</v>
      </c>
      <c r="D1199" s="4">
        <v>4</v>
      </c>
      <c r="E1199" s="5">
        <v>6.25</v>
      </c>
      <c r="F1199" s="4">
        <v>1</v>
      </c>
      <c r="G1199" s="5">
        <v>1.89</v>
      </c>
      <c r="H1199" s="4">
        <v>0</v>
      </c>
    </row>
    <row r="1200" spans="1:8" x14ac:dyDescent="0.2">
      <c r="A1200" s="2" t="s">
        <v>88</v>
      </c>
      <c r="B1200" s="4">
        <v>2</v>
      </c>
      <c r="C1200" s="5">
        <v>1.68</v>
      </c>
      <c r="D1200" s="4">
        <v>2</v>
      </c>
      <c r="E1200" s="5">
        <v>3.13</v>
      </c>
      <c r="F1200" s="4">
        <v>0</v>
      </c>
      <c r="G1200" s="5">
        <v>0</v>
      </c>
      <c r="H1200" s="4">
        <v>0</v>
      </c>
    </row>
    <row r="1201" spans="1:8" x14ac:dyDescent="0.2">
      <c r="A1201" s="2" t="s">
        <v>89</v>
      </c>
      <c r="B1201" s="4">
        <v>6</v>
      </c>
      <c r="C1201" s="5">
        <v>5.04</v>
      </c>
      <c r="D1201" s="4">
        <v>2</v>
      </c>
      <c r="E1201" s="5">
        <v>3.13</v>
      </c>
      <c r="F1201" s="4">
        <v>3</v>
      </c>
      <c r="G1201" s="5">
        <v>5.66</v>
      </c>
      <c r="H1201" s="4">
        <v>1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F37D0-2BB0-49B1-AC3E-73687E413C9E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289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306</v>
      </c>
      <c r="D6" s="8">
        <v>9.64</v>
      </c>
      <c r="E6" s="12">
        <v>58</v>
      </c>
      <c r="F6" s="8">
        <v>3.49</v>
      </c>
      <c r="G6" s="12">
        <v>248</v>
      </c>
      <c r="H6" s="8">
        <v>16.579999999999998</v>
      </c>
      <c r="I6" s="12">
        <v>0</v>
      </c>
    </row>
    <row r="7" spans="2:9" ht="15" customHeight="1" x14ac:dyDescent="0.2">
      <c r="B7" t="s">
        <v>77</v>
      </c>
      <c r="C7" s="12">
        <v>538</v>
      </c>
      <c r="D7" s="8">
        <v>16.96</v>
      </c>
      <c r="E7" s="12">
        <v>189</v>
      </c>
      <c r="F7" s="8">
        <v>11.36</v>
      </c>
      <c r="G7" s="12">
        <v>349</v>
      </c>
      <c r="H7" s="8">
        <v>23.33</v>
      </c>
      <c r="I7" s="12">
        <v>0</v>
      </c>
    </row>
    <row r="8" spans="2:9" ht="15" customHeight="1" x14ac:dyDescent="0.2">
      <c r="B8" t="s">
        <v>78</v>
      </c>
      <c r="C8" s="12">
        <v>1</v>
      </c>
      <c r="D8" s="8">
        <v>0.03</v>
      </c>
      <c r="E8" s="12">
        <v>0</v>
      </c>
      <c r="F8" s="8">
        <v>0</v>
      </c>
      <c r="G8" s="12">
        <v>1</v>
      </c>
      <c r="H8" s="8">
        <v>7.0000000000000007E-2</v>
      </c>
      <c r="I8" s="12">
        <v>0</v>
      </c>
    </row>
    <row r="9" spans="2:9" ht="15" customHeight="1" x14ac:dyDescent="0.2">
      <c r="B9" t="s">
        <v>79</v>
      </c>
      <c r="C9" s="12">
        <v>23</v>
      </c>
      <c r="D9" s="8">
        <v>0.72</v>
      </c>
      <c r="E9" s="12">
        <v>1</v>
      </c>
      <c r="F9" s="8">
        <v>0.06</v>
      </c>
      <c r="G9" s="12">
        <v>22</v>
      </c>
      <c r="H9" s="8">
        <v>1.47</v>
      </c>
      <c r="I9" s="12">
        <v>0</v>
      </c>
    </row>
    <row r="10" spans="2:9" ht="15" customHeight="1" x14ac:dyDescent="0.2">
      <c r="B10" t="s">
        <v>80</v>
      </c>
      <c r="C10" s="12">
        <v>52</v>
      </c>
      <c r="D10" s="8">
        <v>1.64</v>
      </c>
      <c r="E10" s="12">
        <v>38</v>
      </c>
      <c r="F10" s="8">
        <v>2.2799999999999998</v>
      </c>
      <c r="G10" s="12">
        <v>14</v>
      </c>
      <c r="H10" s="8">
        <v>0.94</v>
      </c>
      <c r="I10" s="12">
        <v>0</v>
      </c>
    </row>
    <row r="11" spans="2:9" ht="15" customHeight="1" x14ac:dyDescent="0.2">
      <c r="B11" t="s">
        <v>81</v>
      </c>
      <c r="C11" s="12">
        <v>578</v>
      </c>
      <c r="D11" s="8">
        <v>18.22</v>
      </c>
      <c r="E11" s="12">
        <v>312</v>
      </c>
      <c r="F11" s="8">
        <v>18.75</v>
      </c>
      <c r="G11" s="12">
        <v>266</v>
      </c>
      <c r="H11" s="8">
        <v>17.78</v>
      </c>
      <c r="I11" s="12">
        <v>0</v>
      </c>
    </row>
    <row r="12" spans="2:9" ht="15" customHeight="1" x14ac:dyDescent="0.2">
      <c r="B12" t="s">
        <v>82</v>
      </c>
      <c r="C12" s="12">
        <v>11</v>
      </c>
      <c r="D12" s="8">
        <v>0.35</v>
      </c>
      <c r="E12" s="12">
        <v>1</v>
      </c>
      <c r="F12" s="8">
        <v>0.06</v>
      </c>
      <c r="G12" s="12">
        <v>10</v>
      </c>
      <c r="H12" s="8">
        <v>0.67</v>
      </c>
      <c r="I12" s="12">
        <v>0</v>
      </c>
    </row>
    <row r="13" spans="2:9" ht="15" customHeight="1" x14ac:dyDescent="0.2">
      <c r="B13" t="s">
        <v>83</v>
      </c>
      <c r="C13" s="12">
        <v>475</v>
      </c>
      <c r="D13" s="8">
        <v>14.97</v>
      </c>
      <c r="E13" s="12">
        <v>197</v>
      </c>
      <c r="F13" s="8">
        <v>11.84</v>
      </c>
      <c r="G13" s="12">
        <v>278</v>
      </c>
      <c r="H13" s="8">
        <v>18.579999999999998</v>
      </c>
      <c r="I13" s="12">
        <v>0</v>
      </c>
    </row>
    <row r="14" spans="2:9" ht="15" customHeight="1" x14ac:dyDescent="0.2">
      <c r="B14" t="s">
        <v>84</v>
      </c>
      <c r="C14" s="12">
        <v>147</v>
      </c>
      <c r="D14" s="8">
        <v>4.63</v>
      </c>
      <c r="E14" s="12">
        <v>65</v>
      </c>
      <c r="F14" s="8">
        <v>3.91</v>
      </c>
      <c r="G14" s="12">
        <v>80</v>
      </c>
      <c r="H14" s="8">
        <v>5.35</v>
      </c>
      <c r="I14" s="12">
        <v>1</v>
      </c>
    </row>
    <row r="15" spans="2:9" ht="15" customHeight="1" x14ac:dyDescent="0.2">
      <c r="B15" t="s">
        <v>85</v>
      </c>
      <c r="C15" s="12">
        <v>382</v>
      </c>
      <c r="D15" s="8">
        <v>12.04</v>
      </c>
      <c r="E15" s="12">
        <v>341</v>
      </c>
      <c r="F15" s="8">
        <v>20.49</v>
      </c>
      <c r="G15" s="12">
        <v>41</v>
      </c>
      <c r="H15" s="8">
        <v>2.74</v>
      </c>
      <c r="I15" s="12">
        <v>0</v>
      </c>
    </row>
    <row r="16" spans="2:9" ht="15" customHeight="1" x14ac:dyDescent="0.2">
      <c r="B16" t="s">
        <v>86</v>
      </c>
      <c r="C16" s="12">
        <v>327</v>
      </c>
      <c r="D16" s="8">
        <v>10.31</v>
      </c>
      <c r="E16" s="12">
        <v>255</v>
      </c>
      <c r="F16" s="8">
        <v>15.32</v>
      </c>
      <c r="G16" s="12">
        <v>72</v>
      </c>
      <c r="H16" s="8">
        <v>4.8099999999999996</v>
      </c>
      <c r="I16" s="12">
        <v>0</v>
      </c>
    </row>
    <row r="17" spans="2:9" ht="15" customHeight="1" x14ac:dyDescent="0.2">
      <c r="B17" t="s">
        <v>87</v>
      </c>
      <c r="C17" s="12">
        <v>81</v>
      </c>
      <c r="D17" s="8">
        <v>2.5499999999999998</v>
      </c>
      <c r="E17" s="12">
        <v>60</v>
      </c>
      <c r="F17" s="8">
        <v>3.61</v>
      </c>
      <c r="G17" s="12">
        <v>19</v>
      </c>
      <c r="H17" s="8">
        <v>1.27</v>
      </c>
      <c r="I17" s="12">
        <v>1</v>
      </c>
    </row>
    <row r="18" spans="2:9" ht="15" customHeight="1" x14ac:dyDescent="0.2">
      <c r="B18" t="s">
        <v>88</v>
      </c>
      <c r="C18" s="12">
        <v>188</v>
      </c>
      <c r="D18" s="8">
        <v>5.92</v>
      </c>
      <c r="E18" s="12">
        <v>127</v>
      </c>
      <c r="F18" s="8">
        <v>7.63</v>
      </c>
      <c r="G18" s="12">
        <v>52</v>
      </c>
      <c r="H18" s="8">
        <v>3.48</v>
      </c>
      <c r="I18" s="12">
        <v>9</v>
      </c>
    </row>
    <row r="19" spans="2:9" ht="15" customHeight="1" x14ac:dyDescent="0.2">
      <c r="B19" t="s">
        <v>89</v>
      </c>
      <c r="C19" s="12">
        <v>64</v>
      </c>
      <c r="D19" s="8">
        <v>2.02</v>
      </c>
      <c r="E19" s="12">
        <v>20</v>
      </c>
      <c r="F19" s="8">
        <v>1.2</v>
      </c>
      <c r="G19" s="12">
        <v>44</v>
      </c>
      <c r="H19" s="8">
        <v>2.94</v>
      </c>
      <c r="I19" s="12">
        <v>0</v>
      </c>
    </row>
    <row r="20" spans="2:9" ht="15" customHeight="1" x14ac:dyDescent="0.2">
      <c r="B20" s="9" t="s">
        <v>271</v>
      </c>
      <c r="C20" s="12">
        <f>SUM(LTBL_27118[総数／事業所数])</f>
        <v>3173</v>
      </c>
      <c r="E20" s="12">
        <f>SUBTOTAL(109,LTBL_27118[個人／事業所数])</f>
        <v>1664</v>
      </c>
      <c r="G20" s="12">
        <f>SUBTOTAL(109,LTBL_27118[法人／事業所数])</f>
        <v>1496</v>
      </c>
      <c r="I20" s="12">
        <f>SUBTOTAL(109,LTBL_27118[法人以外の団体／事業所数])</f>
        <v>11</v>
      </c>
    </row>
    <row r="21" spans="2:9" ht="15" customHeight="1" x14ac:dyDescent="0.2">
      <c r="E21" s="11">
        <f>LTBL_27118[[#Totals],[個人／事業所数]]/LTBL_27118[[#Totals],[総数／事業所数]]</f>
        <v>0.5244248345414434</v>
      </c>
      <c r="G21" s="11">
        <f>LTBL_27118[[#Totals],[法人／事業所数]]/LTBL_27118[[#Totals],[総数／事業所数]]</f>
        <v>0.47147809643870153</v>
      </c>
      <c r="I21" s="11">
        <f>LTBL_27118[[#Totals],[法人以外の団体／事業所数]]/LTBL_27118[[#Totals],[総数／事業所数]]</f>
        <v>3.4667507091080997E-3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110</v>
      </c>
      <c r="C24" s="12">
        <v>414</v>
      </c>
      <c r="D24" s="8">
        <v>13.05</v>
      </c>
      <c r="E24" s="12">
        <v>193</v>
      </c>
      <c r="F24" s="8">
        <v>11.6</v>
      </c>
      <c r="G24" s="12">
        <v>221</v>
      </c>
      <c r="H24" s="8">
        <v>14.77</v>
      </c>
      <c r="I24" s="12">
        <v>0</v>
      </c>
    </row>
    <row r="25" spans="2:9" ht="15" customHeight="1" x14ac:dyDescent="0.2">
      <c r="B25" t="s">
        <v>113</v>
      </c>
      <c r="C25" s="12">
        <v>358</v>
      </c>
      <c r="D25" s="8">
        <v>11.28</v>
      </c>
      <c r="E25" s="12">
        <v>331</v>
      </c>
      <c r="F25" s="8">
        <v>19.89</v>
      </c>
      <c r="G25" s="12">
        <v>27</v>
      </c>
      <c r="H25" s="8">
        <v>1.8</v>
      </c>
      <c r="I25" s="12">
        <v>0</v>
      </c>
    </row>
    <row r="26" spans="2:9" ht="15" customHeight="1" x14ac:dyDescent="0.2">
      <c r="B26" t="s">
        <v>114</v>
      </c>
      <c r="C26" s="12">
        <v>276</v>
      </c>
      <c r="D26" s="8">
        <v>8.6999999999999993</v>
      </c>
      <c r="E26" s="12">
        <v>231</v>
      </c>
      <c r="F26" s="8">
        <v>13.88</v>
      </c>
      <c r="G26" s="12">
        <v>45</v>
      </c>
      <c r="H26" s="8">
        <v>3.01</v>
      </c>
      <c r="I26" s="12">
        <v>0</v>
      </c>
    </row>
    <row r="27" spans="2:9" ht="15" customHeight="1" x14ac:dyDescent="0.2">
      <c r="B27" t="s">
        <v>108</v>
      </c>
      <c r="C27" s="12">
        <v>161</v>
      </c>
      <c r="D27" s="8">
        <v>5.07</v>
      </c>
      <c r="E27" s="12">
        <v>115</v>
      </c>
      <c r="F27" s="8">
        <v>6.91</v>
      </c>
      <c r="G27" s="12">
        <v>46</v>
      </c>
      <c r="H27" s="8">
        <v>3.07</v>
      </c>
      <c r="I27" s="12">
        <v>0</v>
      </c>
    </row>
    <row r="28" spans="2:9" ht="15" customHeight="1" x14ac:dyDescent="0.2">
      <c r="B28" t="s">
        <v>116</v>
      </c>
      <c r="C28" s="12">
        <v>144</v>
      </c>
      <c r="D28" s="8">
        <v>4.54</v>
      </c>
      <c r="E28" s="12">
        <v>127</v>
      </c>
      <c r="F28" s="8">
        <v>7.63</v>
      </c>
      <c r="G28" s="12">
        <v>17</v>
      </c>
      <c r="H28" s="8">
        <v>1.1399999999999999</v>
      </c>
      <c r="I28" s="12">
        <v>0</v>
      </c>
    </row>
    <row r="29" spans="2:9" ht="15" customHeight="1" x14ac:dyDescent="0.2">
      <c r="B29" t="s">
        <v>121</v>
      </c>
      <c r="C29" s="12">
        <v>122</v>
      </c>
      <c r="D29" s="8">
        <v>3.84</v>
      </c>
      <c r="E29" s="12">
        <v>41</v>
      </c>
      <c r="F29" s="8">
        <v>2.46</v>
      </c>
      <c r="G29" s="12">
        <v>81</v>
      </c>
      <c r="H29" s="8">
        <v>5.41</v>
      </c>
      <c r="I29" s="12">
        <v>0</v>
      </c>
    </row>
    <row r="30" spans="2:9" ht="15" customHeight="1" x14ac:dyDescent="0.2">
      <c r="B30" t="s">
        <v>100</v>
      </c>
      <c r="C30" s="12">
        <v>110</v>
      </c>
      <c r="D30" s="8">
        <v>3.47</v>
      </c>
      <c r="E30" s="12">
        <v>14</v>
      </c>
      <c r="F30" s="8">
        <v>0.84</v>
      </c>
      <c r="G30" s="12">
        <v>96</v>
      </c>
      <c r="H30" s="8">
        <v>6.42</v>
      </c>
      <c r="I30" s="12">
        <v>0</v>
      </c>
    </row>
    <row r="31" spans="2:9" ht="15" customHeight="1" x14ac:dyDescent="0.2">
      <c r="B31" t="s">
        <v>106</v>
      </c>
      <c r="C31" s="12">
        <v>104</v>
      </c>
      <c r="D31" s="8">
        <v>3.28</v>
      </c>
      <c r="E31" s="12">
        <v>86</v>
      </c>
      <c r="F31" s="8">
        <v>5.17</v>
      </c>
      <c r="G31" s="12">
        <v>18</v>
      </c>
      <c r="H31" s="8">
        <v>1.2</v>
      </c>
      <c r="I31" s="12">
        <v>0</v>
      </c>
    </row>
    <row r="32" spans="2:9" ht="15" customHeight="1" x14ac:dyDescent="0.2">
      <c r="B32" t="s">
        <v>99</v>
      </c>
      <c r="C32" s="12">
        <v>99</v>
      </c>
      <c r="D32" s="8">
        <v>3.12</v>
      </c>
      <c r="E32" s="12">
        <v>21</v>
      </c>
      <c r="F32" s="8">
        <v>1.26</v>
      </c>
      <c r="G32" s="12">
        <v>78</v>
      </c>
      <c r="H32" s="8">
        <v>5.21</v>
      </c>
      <c r="I32" s="12">
        <v>0</v>
      </c>
    </row>
    <row r="33" spans="2:9" ht="15" customHeight="1" x14ac:dyDescent="0.2">
      <c r="B33" t="s">
        <v>98</v>
      </c>
      <c r="C33" s="12">
        <v>97</v>
      </c>
      <c r="D33" s="8">
        <v>3.06</v>
      </c>
      <c r="E33" s="12">
        <v>23</v>
      </c>
      <c r="F33" s="8">
        <v>1.38</v>
      </c>
      <c r="G33" s="12">
        <v>74</v>
      </c>
      <c r="H33" s="8">
        <v>4.95</v>
      </c>
      <c r="I33" s="12">
        <v>0</v>
      </c>
    </row>
    <row r="34" spans="2:9" ht="15" customHeight="1" x14ac:dyDescent="0.2">
      <c r="B34" t="s">
        <v>111</v>
      </c>
      <c r="C34" s="12">
        <v>94</v>
      </c>
      <c r="D34" s="8">
        <v>2.96</v>
      </c>
      <c r="E34" s="12">
        <v>48</v>
      </c>
      <c r="F34" s="8">
        <v>2.88</v>
      </c>
      <c r="G34" s="12">
        <v>46</v>
      </c>
      <c r="H34" s="8">
        <v>3.07</v>
      </c>
      <c r="I34" s="12">
        <v>0</v>
      </c>
    </row>
    <row r="35" spans="2:9" ht="15" customHeight="1" x14ac:dyDescent="0.2">
      <c r="B35" t="s">
        <v>115</v>
      </c>
      <c r="C35" s="12">
        <v>81</v>
      </c>
      <c r="D35" s="8">
        <v>2.5499999999999998</v>
      </c>
      <c r="E35" s="12">
        <v>60</v>
      </c>
      <c r="F35" s="8">
        <v>3.61</v>
      </c>
      <c r="G35" s="12">
        <v>19</v>
      </c>
      <c r="H35" s="8">
        <v>1.27</v>
      </c>
      <c r="I35" s="12">
        <v>1</v>
      </c>
    </row>
    <row r="36" spans="2:9" ht="15" customHeight="1" x14ac:dyDescent="0.2">
      <c r="B36" t="s">
        <v>101</v>
      </c>
      <c r="C36" s="12">
        <v>74</v>
      </c>
      <c r="D36" s="8">
        <v>2.33</v>
      </c>
      <c r="E36" s="12">
        <v>30</v>
      </c>
      <c r="F36" s="8">
        <v>1.8</v>
      </c>
      <c r="G36" s="12">
        <v>44</v>
      </c>
      <c r="H36" s="8">
        <v>2.94</v>
      </c>
      <c r="I36" s="12">
        <v>0</v>
      </c>
    </row>
    <row r="37" spans="2:9" ht="15" customHeight="1" x14ac:dyDescent="0.2">
      <c r="B37" t="s">
        <v>120</v>
      </c>
      <c r="C37" s="12">
        <v>63</v>
      </c>
      <c r="D37" s="8">
        <v>1.99</v>
      </c>
      <c r="E37" s="12">
        <v>35</v>
      </c>
      <c r="F37" s="8">
        <v>2.1</v>
      </c>
      <c r="G37" s="12">
        <v>28</v>
      </c>
      <c r="H37" s="8">
        <v>1.87</v>
      </c>
      <c r="I37" s="12">
        <v>0</v>
      </c>
    </row>
    <row r="38" spans="2:9" ht="15" customHeight="1" x14ac:dyDescent="0.2">
      <c r="B38" t="s">
        <v>104</v>
      </c>
      <c r="C38" s="12">
        <v>52</v>
      </c>
      <c r="D38" s="8">
        <v>1.64</v>
      </c>
      <c r="E38" s="12">
        <v>12</v>
      </c>
      <c r="F38" s="8">
        <v>0.72</v>
      </c>
      <c r="G38" s="12">
        <v>40</v>
      </c>
      <c r="H38" s="8">
        <v>2.67</v>
      </c>
      <c r="I38" s="12">
        <v>0</v>
      </c>
    </row>
    <row r="39" spans="2:9" ht="15" customHeight="1" x14ac:dyDescent="0.2">
      <c r="B39" t="s">
        <v>107</v>
      </c>
      <c r="C39" s="12">
        <v>52</v>
      </c>
      <c r="D39" s="8">
        <v>1.64</v>
      </c>
      <c r="E39" s="12">
        <v>39</v>
      </c>
      <c r="F39" s="8">
        <v>2.34</v>
      </c>
      <c r="G39" s="12">
        <v>13</v>
      </c>
      <c r="H39" s="8">
        <v>0.87</v>
      </c>
      <c r="I39" s="12">
        <v>0</v>
      </c>
    </row>
    <row r="40" spans="2:9" ht="15" customHeight="1" x14ac:dyDescent="0.2">
      <c r="B40" t="s">
        <v>109</v>
      </c>
      <c r="C40" s="12">
        <v>52</v>
      </c>
      <c r="D40" s="8">
        <v>1.64</v>
      </c>
      <c r="E40" s="12">
        <v>3</v>
      </c>
      <c r="F40" s="8">
        <v>0.18</v>
      </c>
      <c r="G40" s="12">
        <v>49</v>
      </c>
      <c r="H40" s="8">
        <v>3.28</v>
      </c>
      <c r="I40" s="12">
        <v>0</v>
      </c>
    </row>
    <row r="41" spans="2:9" ht="15" customHeight="1" x14ac:dyDescent="0.2">
      <c r="B41" t="s">
        <v>105</v>
      </c>
      <c r="C41" s="12">
        <v>50</v>
      </c>
      <c r="D41" s="8">
        <v>1.58</v>
      </c>
      <c r="E41" s="12">
        <v>28</v>
      </c>
      <c r="F41" s="8">
        <v>1.68</v>
      </c>
      <c r="G41" s="12">
        <v>22</v>
      </c>
      <c r="H41" s="8">
        <v>1.47</v>
      </c>
      <c r="I41" s="12">
        <v>0</v>
      </c>
    </row>
    <row r="42" spans="2:9" ht="15" customHeight="1" x14ac:dyDescent="0.2">
      <c r="B42" t="s">
        <v>112</v>
      </c>
      <c r="C42" s="12">
        <v>47</v>
      </c>
      <c r="D42" s="8">
        <v>1.48</v>
      </c>
      <c r="E42" s="12">
        <v>17</v>
      </c>
      <c r="F42" s="8">
        <v>1.02</v>
      </c>
      <c r="G42" s="12">
        <v>29</v>
      </c>
      <c r="H42" s="8">
        <v>1.94</v>
      </c>
      <c r="I42" s="12">
        <v>0</v>
      </c>
    </row>
    <row r="43" spans="2:9" ht="15" customHeight="1" x14ac:dyDescent="0.2">
      <c r="B43" t="s">
        <v>103</v>
      </c>
      <c r="C43" s="12">
        <v>45</v>
      </c>
      <c r="D43" s="8">
        <v>1.42</v>
      </c>
      <c r="E43" s="12">
        <v>9</v>
      </c>
      <c r="F43" s="8">
        <v>0.54</v>
      </c>
      <c r="G43" s="12">
        <v>36</v>
      </c>
      <c r="H43" s="8">
        <v>2.41</v>
      </c>
      <c r="I43" s="12">
        <v>0</v>
      </c>
    </row>
    <row r="46" spans="2:9" ht="33" customHeight="1" x14ac:dyDescent="0.2">
      <c r="B46" t="s">
        <v>273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160</v>
      </c>
      <c r="C47" s="12">
        <v>231</v>
      </c>
      <c r="D47" s="8">
        <v>7.28</v>
      </c>
      <c r="E47" s="12">
        <v>109</v>
      </c>
      <c r="F47" s="8">
        <v>6.55</v>
      </c>
      <c r="G47" s="12">
        <v>122</v>
      </c>
      <c r="H47" s="8">
        <v>8.16</v>
      </c>
      <c r="I47" s="12">
        <v>0</v>
      </c>
    </row>
    <row r="48" spans="2:9" ht="15" customHeight="1" x14ac:dyDescent="0.2">
      <c r="B48" t="s">
        <v>169</v>
      </c>
      <c r="C48" s="12">
        <v>126</v>
      </c>
      <c r="D48" s="8">
        <v>3.97</v>
      </c>
      <c r="E48" s="12">
        <v>112</v>
      </c>
      <c r="F48" s="8">
        <v>6.73</v>
      </c>
      <c r="G48" s="12">
        <v>14</v>
      </c>
      <c r="H48" s="8">
        <v>0.94</v>
      </c>
      <c r="I48" s="12">
        <v>0</v>
      </c>
    </row>
    <row r="49" spans="2:9" ht="15" customHeight="1" x14ac:dyDescent="0.2">
      <c r="B49" t="s">
        <v>167</v>
      </c>
      <c r="C49" s="12">
        <v>103</v>
      </c>
      <c r="D49" s="8">
        <v>3.25</v>
      </c>
      <c r="E49" s="12">
        <v>100</v>
      </c>
      <c r="F49" s="8">
        <v>6.01</v>
      </c>
      <c r="G49" s="12">
        <v>3</v>
      </c>
      <c r="H49" s="8">
        <v>0.2</v>
      </c>
      <c r="I49" s="12">
        <v>0</v>
      </c>
    </row>
    <row r="50" spans="2:9" ht="15" customHeight="1" x14ac:dyDescent="0.2">
      <c r="B50" t="s">
        <v>171</v>
      </c>
      <c r="C50" s="12">
        <v>102</v>
      </c>
      <c r="D50" s="8">
        <v>3.21</v>
      </c>
      <c r="E50" s="12">
        <v>91</v>
      </c>
      <c r="F50" s="8">
        <v>5.47</v>
      </c>
      <c r="G50" s="12">
        <v>11</v>
      </c>
      <c r="H50" s="8">
        <v>0.74</v>
      </c>
      <c r="I50" s="12">
        <v>0</v>
      </c>
    </row>
    <row r="51" spans="2:9" ht="15" customHeight="1" x14ac:dyDescent="0.2">
      <c r="B51" t="s">
        <v>168</v>
      </c>
      <c r="C51" s="12">
        <v>91</v>
      </c>
      <c r="D51" s="8">
        <v>2.87</v>
      </c>
      <c r="E51" s="12">
        <v>84</v>
      </c>
      <c r="F51" s="8">
        <v>5.05</v>
      </c>
      <c r="G51" s="12">
        <v>7</v>
      </c>
      <c r="H51" s="8">
        <v>0.47</v>
      </c>
      <c r="I51" s="12">
        <v>0</v>
      </c>
    </row>
    <row r="52" spans="2:9" ht="15" customHeight="1" x14ac:dyDescent="0.2">
      <c r="B52" t="s">
        <v>175</v>
      </c>
      <c r="C52" s="12">
        <v>87</v>
      </c>
      <c r="D52" s="8">
        <v>2.74</v>
      </c>
      <c r="E52" s="12">
        <v>29</v>
      </c>
      <c r="F52" s="8">
        <v>1.74</v>
      </c>
      <c r="G52" s="12">
        <v>58</v>
      </c>
      <c r="H52" s="8">
        <v>3.88</v>
      </c>
      <c r="I52" s="12">
        <v>0</v>
      </c>
    </row>
    <row r="53" spans="2:9" ht="15" customHeight="1" x14ac:dyDescent="0.2">
      <c r="B53" t="s">
        <v>165</v>
      </c>
      <c r="C53" s="12">
        <v>87</v>
      </c>
      <c r="D53" s="8">
        <v>2.74</v>
      </c>
      <c r="E53" s="12">
        <v>83</v>
      </c>
      <c r="F53" s="8">
        <v>4.99</v>
      </c>
      <c r="G53" s="12">
        <v>4</v>
      </c>
      <c r="H53" s="8">
        <v>0.27</v>
      </c>
      <c r="I53" s="12">
        <v>0</v>
      </c>
    </row>
    <row r="54" spans="2:9" ht="15" customHeight="1" x14ac:dyDescent="0.2">
      <c r="B54" t="s">
        <v>161</v>
      </c>
      <c r="C54" s="12">
        <v>85</v>
      </c>
      <c r="D54" s="8">
        <v>2.68</v>
      </c>
      <c r="E54" s="12">
        <v>63</v>
      </c>
      <c r="F54" s="8">
        <v>3.79</v>
      </c>
      <c r="G54" s="12">
        <v>22</v>
      </c>
      <c r="H54" s="8">
        <v>1.47</v>
      </c>
      <c r="I54" s="12">
        <v>0</v>
      </c>
    </row>
    <row r="55" spans="2:9" ht="15" customHeight="1" x14ac:dyDescent="0.2">
      <c r="B55" t="s">
        <v>164</v>
      </c>
      <c r="C55" s="12">
        <v>68</v>
      </c>
      <c r="D55" s="8">
        <v>2.14</v>
      </c>
      <c r="E55" s="12">
        <v>58</v>
      </c>
      <c r="F55" s="8">
        <v>3.49</v>
      </c>
      <c r="G55" s="12">
        <v>10</v>
      </c>
      <c r="H55" s="8">
        <v>0.67</v>
      </c>
      <c r="I55" s="12">
        <v>0</v>
      </c>
    </row>
    <row r="56" spans="2:9" ht="15" customHeight="1" x14ac:dyDescent="0.2">
      <c r="B56" t="s">
        <v>157</v>
      </c>
      <c r="C56" s="12">
        <v>62</v>
      </c>
      <c r="D56" s="8">
        <v>1.95</v>
      </c>
      <c r="E56" s="12">
        <v>52</v>
      </c>
      <c r="F56" s="8">
        <v>3.13</v>
      </c>
      <c r="G56" s="12">
        <v>10</v>
      </c>
      <c r="H56" s="8">
        <v>0.67</v>
      </c>
      <c r="I56" s="12">
        <v>0</v>
      </c>
    </row>
    <row r="57" spans="2:9" ht="15" customHeight="1" x14ac:dyDescent="0.2">
      <c r="B57" t="s">
        <v>159</v>
      </c>
      <c r="C57" s="12">
        <v>53</v>
      </c>
      <c r="D57" s="8">
        <v>1.67</v>
      </c>
      <c r="E57" s="12">
        <v>15</v>
      </c>
      <c r="F57" s="8">
        <v>0.9</v>
      </c>
      <c r="G57" s="12">
        <v>38</v>
      </c>
      <c r="H57" s="8">
        <v>2.54</v>
      </c>
      <c r="I57" s="12">
        <v>0</v>
      </c>
    </row>
    <row r="58" spans="2:9" ht="15" customHeight="1" x14ac:dyDescent="0.2">
      <c r="B58" t="s">
        <v>170</v>
      </c>
      <c r="C58" s="12">
        <v>48</v>
      </c>
      <c r="D58" s="8">
        <v>1.51</v>
      </c>
      <c r="E58" s="12">
        <v>39</v>
      </c>
      <c r="F58" s="8">
        <v>2.34</v>
      </c>
      <c r="G58" s="12">
        <v>8</v>
      </c>
      <c r="H58" s="8">
        <v>0.53</v>
      </c>
      <c r="I58" s="12">
        <v>1</v>
      </c>
    </row>
    <row r="59" spans="2:9" ht="15" customHeight="1" x14ac:dyDescent="0.2">
      <c r="B59" t="s">
        <v>176</v>
      </c>
      <c r="C59" s="12">
        <v>46</v>
      </c>
      <c r="D59" s="8">
        <v>1.45</v>
      </c>
      <c r="E59" s="12">
        <v>24</v>
      </c>
      <c r="F59" s="8">
        <v>1.44</v>
      </c>
      <c r="G59" s="12">
        <v>22</v>
      </c>
      <c r="H59" s="8">
        <v>1.47</v>
      </c>
      <c r="I59" s="12">
        <v>0</v>
      </c>
    </row>
    <row r="60" spans="2:9" ht="15" customHeight="1" x14ac:dyDescent="0.2">
      <c r="B60" t="s">
        <v>162</v>
      </c>
      <c r="C60" s="12">
        <v>45</v>
      </c>
      <c r="D60" s="8">
        <v>1.42</v>
      </c>
      <c r="E60" s="12">
        <v>6</v>
      </c>
      <c r="F60" s="8">
        <v>0.36</v>
      </c>
      <c r="G60" s="12">
        <v>39</v>
      </c>
      <c r="H60" s="8">
        <v>2.61</v>
      </c>
      <c r="I60" s="12">
        <v>0</v>
      </c>
    </row>
    <row r="61" spans="2:9" ht="15" customHeight="1" x14ac:dyDescent="0.2">
      <c r="B61" t="s">
        <v>153</v>
      </c>
      <c r="C61" s="12">
        <v>43</v>
      </c>
      <c r="D61" s="8">
        <v>1.36</v>
      </c>
      <c r="E61" s="12">
        <v>7</v>
      </c>
      <c r="F61" s="8">
        <v>0.42</v>
      </c>
      <c r="G61" s="12">
        <v>36</v>
      </c>
      <c r="H61" s="8">
        <v>2.41</v>
      </c>
      <c r="I61" s="12">
        <v>0</v>
      </c>
    </row>
    <row r="62" spans="2:9" ht="15" customHeight="1" x14ac:dyDescent="0.2">
      <c r="B62" t="s">
        <v>156</v>
      </c>
      <c r="C62" s="12">
        <v>37</v>
      </c>
      <c r="D62" s="8">
        <v>1.17</v>
      </c>
      <c r="E62" s="12">
        <v>30</v>
      </c>
      <c r="F62" s="8">
        <v>1.8</v>
      </c>
      <c r="G62" s="12">
        <v>7</v>
      </c>
      <c r="H62" s="8">
        <v>0.47</v>
      </c>
      <c r="I62" s="12">
        <v>0</v>
      </c>
    </row>
    <row r="63" spans="2:9" ht="15" customHeight="1" x14ac:dyDescent="0.2">
      <c r="B63" t="s">
        <v>210</v>
      </c>
      <c r="C63" s="12">
        <v>36</v>
      </c>
      <c r="D63" s="8">
        <v>1.1299999999999999</v>
      </c>
      <c r="E63" s="12">
        <v>7</v>
      </c>
      <c r="F63" s="8">
        <v>0.42</v>
      </c>
      <c r="G63" s="12">
        <v>29</v>
      </c>
      <c r="H63" s="8">
        <v>1.94</v>
      </c>
      <c r="I63" s="12">
        <v>0</v>
      </c>
    </row>
    <row r="64" spans="2:9" ht="15" customHeight="1" x14ac:dyDescent="0.2">
      <c r="B64" t="s">
        <v>158</v>
      </c>
      <c r="C64" s="12">
        <v>36</v>
      </c>
      <c r="D64" s="8">
        <v>1.1299999999999999</v>
      </c>
      <c r="E64" s="12">
        <v>2</v>
      </c>
      <c r="F64" s="8">
        <v>0.12</v>
      </c>
      <c r="G64" s="12">
        <v>34</v>
      </c>
      <c r="H64" s="8">
        <v>2.27</v>
      </c>
      <c r="I64" s="12">
        <v>0</v>
      </c>
    </row>
    <row r="65" spans="2:9" ht="15" customHeight="1" x14ac:dyDescent="0.2">
      <c r="B65" t="s">
        <v>174</v>
      </c>
      <c r="C65" s="12">
        <v>35</v>
      </c>
      <c r="D65" s="8">
        <v>1.1000000000000001</v>
      </c>
      <c r="E65" s="12">
        <v>5</v>
      </c>
      <c r="F65" s="8">
        <v>0.3</v>
      </c>
      <c r="G65" s="12">
        <v>30</v>
      </c>
      <c r="H65" s="8">
        <v>2.0099999999999998</v>
      </c>
      <c r="I65" s="12">
        <v>0</v>
      </c>
    </row>
    <row r="66" spans="2:9" ht="15" customHeight="1" x14ac:dyDescent="0.2">
      <c r="B66" t="s">
        <v>205</v>
      </c>
      <c r="C66" s="12">
        <v>35</v>
      </c>
      <c r="D66" s="8">
        <v>1.1000000000000001</v>
      </c>
      <c r="E66" s="12">
        <v>26</v>
      </c>
      <c r="F66" s="8">
        <v>1.56</v>
      </c>
      <c r="G66" s="12">
        <v>9</v>
      </c>
      <c r="H66" s="8">
        <v>0.6</v>
      </c>
      <c r="I66" s="12">
        <v>0</v>
      </c>
    </row>
    <row r="67" spans="2:9" ht="15" customHeight="1" x14ac:dyDescent="0.2">
      <c r="B67" t="s">
        <v>212</v>
      </c>
      <c r="C67" s="12">
        <v>35</v>
      </c>
      <c r="D67" s="8">
        <v>1.1000000000000001</v>
      </c>
      <c r="E67" s="12">
        <v>34</v>
      </c>
      <c r="F67" s="8">
        <v>2.04</v>
      </c>
      <c r="G67" s="12">
        <v>1</v>
      </c>
      <c r="H67" s="8">
        <v>7.0000000000000007E-2</v>
      </c>
      <c r="I67" s="12">
        <v>0</v>
      </c>
    </row>
    <row r="68" spans="2:9" ht="15" customHeight="1" x14ac:dyDescent="0.2">
      <c r="B68" t="s">
        <v>196</v>
      </c>
      <c r="C68" s="12">
        <v>35</v>
      </c>
      <c r="D68" s="8">
        <v>1.1000000000000001</v>
      </c>
      <c r="E68" s="12">
        <v>17</v>
      </c>
      <c r="F68" s="8">
        <v>1.02</v>
      </c>
      <c r="G68" s="12">
        <v>18</v>
      </c>
      <c r="H68" s="8">
        <v>1.2</v>
      </c>
      <c r="I68" s="12">
        <v>0</v>
      </c>
    </row>
    <row r="70" spans="2:9" ht="15" customHeight="1" x14ac:dyDescent="0.2">
      <c r="B70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27823-0D70-4454-A7CE-4B8E7DB584BC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290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165</v>
      </c>
      <c r="D6" s="8">
        <v>5.5</v>
      </c>
      <c r="E6" s="12">
        <v>41</v>
      </c>
      <c r="F6" s="8">
        <v>2.73</v>
      </c>
      <c r="G6" s="12">
        <v>124</v>
      </c>
      <c r="H6" s="8">
        <v>8.2899999999999991</v>
      </c>
      <c r="I6" s="12">
        <v>0</v>
      </c>
    </row>
    <row r="7" spans="2:9" ht="15" customHeight="1" x14ac:dyDescent="0.2">
      <c r="B7" t="s">
        <v>77</v>
      </c>
      <c r="C7" s="12">
        <v>189</v>
      </c>
      <c r="D7" s="8">
        <v>6.3</v>
      </c>
      <c r="E7" s="12">
        <v>70</v>
      </c>
      <c r="F7" s="8">
        <v>4.6500000000000004</v>
      </c>
      <c r="G7" s="12">
        <v>119</v>
      </c>
      <c r="H7" s="8">
        <v>7.96</v>
      </c>
      <c r="I7" s="12">
        <v>0</v>
      </c>
    </row>
    <row r="8" spans="2:9" ht="15" customHeight="1" x14ac:dyDescent="0.2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79</v>
      </c>
      <c r="C9" s="12">
        <v>33</v>
      </c>
      <c r="D9" s="8">
        <v>1.1000000000000001</v>
      </c>
      <c r="E9" s="12">
        <v>3</v>
      </c>
      <c r="F9" s="8">
        <v>0.2</v>
      </c>
      <c r="G9" s="12">
        <v>30</v>
      </c>
      <c r="H9" s="8">
        <v>2.0099999999999998</v>
      </c>
      <c r="I9" s="12">
        <v>0</v>
      </c>
    </row>
    <row r="10" spans="2:9" ht="15" customHeight="1" x14ac:dyDescent="0.2">
      <c r="B10" t="s">
        <v>80</v>
      </c>
      <c r="C10" s="12">
        <v>11</v>
      </c>
      <c r="D10" s="8">
        <v>0.37</v>
      </c>
      <c r="E10" s="12">
        <v>4</v>
      </c>
      <c r="F10" s="8">
        <v>0.27</v>
      </c>
      <c r="G10" s="12">
        <v>7</v>
      </c>
      <c r="H10" s="8">
        <v>0.47</v>
      </c>
      <c r="I10" s="12">
        <v>0</v>
      </c>
    </row>
    <row r="11" spans="2:9" ht="15" customHeight="1" x14ac:dyDescent="0.2">
      <c r="B11" t="s">
        <v>81</v>
      </c>
      <c r="C11" s="12">
        <v>741</v>
      </c>
      <c r="D11" s="8">
        <v>24.68</v>
      </c>
      <c r="E11" s="12">
        <v>317</v>
      </c>
      <c r="F11" s="8">
        <v>21.08</v>
      </c>
      <c r="G11" s="12">
        <v>424</v>
      </c>
      <c r="H11" s="8">
        <v>28.36</v>
      </c>
      <c r="I11" s="12">
        <v>0</v>
      </c>
    </row>
    <row r="12" spans="2:9" ht="15" customHeight="1" x14ac:dyDescent="0.2">
      <c r="B12" t="s">
        <v>82</v>
      </c>
      <c r="C12" s="12">
        <v>19</v>
      </c>
      <c r="D12" s="8">
        <v>0.63</v>
      </c>
      <c r="E12" s="12">
        <v>1</v>
      </c>
      <c r="F12" s="8">
        <v>7.0000000000000007E-2</v>
      </c>
      <c r="G12" s="12">
        <v>18</v>
      </c>
      <c r="H12" s="8">
        <v>1.2</v>
      </c>
      <c r="I12" s="12">
        <v>0</v>
      </c>
    </row>
    <row r="13" spans="2:9" ht="15" customHeight="1" x14ac:dyDescent="0.2">
      <c r="B13" t="s">
        <v>83</v>
      </c>
      <c r="C13" s="12">
        <v>561</v>
      </c>
      <c r="D13" s="8">
        <v>18.690000000000001</v>
      </c>
      <c r="E13" s="12">
        <v>183</v>
      </c>
      <c r="F13" s="8">
        <v>12.17</v>
      </c>
      <c r="G13" s="12">
        <v>378</v>
      </c>
      <c r="H13" s="8">
        <v>25.28</v>
      </c>
      <c r="I13" s="12">
        <v>0</v>
      </c>
    </row>
    <row r="14" spans="2:9" ht="15" customHeight="1" x14ac:dyDescent="0.2">
      <c r="B14" t="s">
        <v>84</v>
      </c>
      <c r="C14" s="12">
        <v>204</v>
      </c>
      <c r="D14" s="8">
        <v>6.8</v>
      </c>
      <c r="E14" s="12">
        <v>105</v>
      </c>
      <c r="F14" s="8">
        <v>6.98</v>
      </c>
      <c r="G14" s="12">
        <v>99</v>
      </c>
      <c r="H14" s="8">
        <v>6.62</v>
      </c>
      <c r="I14" s="12">
        <v>0</v>
      </c>
    </row>
    <row r="15" spans="2:9" ht="15" customHeight="1" x14ac:dyDescent="0.2">
      <c r="B15" t="s">
        <v>85</v>
      </c>
      <c r="C15" s="12">
        <v>417</v>
      </c>
      <c r="D15" s="8">
        <v>13.89</v>
      </c>
      <c r="E15" s="12">
        <v>341</v>
      </c>
      <c r="F15" s="8">
        <v>22.67</v>
      </c>
      <c r="G15" s="12">
        <v>76</v>
      </c>
      <c r="H15" s="8">
        <v>5.08</v>
      </c>
      <c r="I15" s="12">
        <v>0</v>
      </c>
    </row>
    <row r="16" spans="2:9" ht="15" customHeight="1" x14ac:dyDescent="0.2">
      <c r="B16" t="s">
        <v>86</v>
      </c>
      <c r="C16" s="12">
        <v>286</v>
      </c>
      <c r="D16" s="8">
        <v>9.5299999999999994</v>
      </c>
      <c r="E16" s="12">
        <v>215</v>
      </c>
      <c r="F16" s="8">
        <v>14.3</v>
      </c>
      <c r="G16" s="12">
        <v>71</v>
      </c>
      <c r="H16" s="8">
        <v>4.75</v>
      </c>
      <c r="I16" s="12">
        <v>0</v>
      </c>
    </row>
    <row r="17" spans="2:9" ht="15" customHeight="1" x14ac:dyDescent="0.2">
      <c r="B17" t="s">
        <v>87</v>
      </c>
      <c r="C17" s="12">
        <v>109</v>
      </c>
      <c r="D17" s="8">
        <v>3.63</v>
      </c>
      <c r="E17" s="12">
        <v>67</v>
      </c>
      <c r="F17" s="8">
        <v>4.45</v>
      </c>
      <c r="G17" s="12">
        <v>41</v>
      </c>
      <c r="H17" s="8">
        <v>2.74</v>
      </c>
      <c r="I17" s="12">
        <v>0</v>
      </c>
    </row>
    <row r="18" spans="2:9" ht="15" customHeight="1" x14ac:dyDescent="0.2">
      <c r="B18" t="s">
        <v>88</v>
      </c>
      <c r="C18" s="12">
        <v>213</v>
      </c>
      <c r="D18" s="8">
        <v>7.1</v>
      </c>
      <c r="E18" s="12">
        <v>145</v>
      </c>
      <c r="F18" s="8">
        <v>9.64</v>
      </c>
      <c r="G18" s="12">
        <v>67</v>
      </c>
      <c r="H18" s="8">
        <v>4.4800000000000004</v>
      </c>
      <c r="I18" s="12">
        <v>1</v>
      </c>
    </row>
    <row r="19" spans="2:9" ht="15" customHeight="1" x14ac:dyDescent="0.2">
      <c r="B19" t="s">
        <v>89</v>
      </c>
      <c r="C19" s="12">
        <v>54</v>
      </c>
      <c r="D19" s="8">
        <v>1.8</v>
      </c>
      <c r="E19" s="12">
        <v>12</v>
      </c>
      <c r="F19" s="8">
        <v>0.8</v>
      </c>
      <c r="G19" s="12">
        <v>41</v>
      </c>
      <c r="H19" s="8">
        <v>2.74</v>
      </c>
      <c r="I19" s="12">
        <v>1</v>
      </c>
    </row>
    <row r="20" spans="2:9" ht="15" customHeight="1" x14ac:dyDescent="0.2">
      <c r="B20" s="9" t="s">
        <v>271</v>
      </c>
      <c r="C20" s="12">
        <f>SUM(LTBL_27119[総数／事業所数])</f>
        <v>3002</v>
      </c>
      <c r="E20" s="12">
        <f>SUBTOTAL(109,LTBL_27119[個人／事業所数])</f>
        <v>1504</v>
      </c>
      <c r="G20" s="12">
        <f>SUBTOTAL(109,LTBL_27119[法人／事業所数])</f>
        <v>1495</v>
      </c>
      <c r="I20" s="12">
        <f>SUBTOTAL(109,LTBL_27119[法人以外の団体／事業所数])</f>
        <v>2</v>
      </c>
    </row>
    <row r="21" spans="2:9" ht="15" customHeight="1" x14ac:dyDescent="0.2">
      <c r="E21" s="11">
        <f>LTBL_27119[[#Totals],[個人／事業所数]]/LTBL_27119[[#Totals],[総数／事業所数]]</f>
        <v>0.50099933377748163</v>
      </c>
      <c r="G21" s="11">
        <f>LTBL_27119[[#Totals],[法人／事業所数]]/LTBL_27119[[#Totals],[総数／事業所数]]</f>
        <v>0.49800133244503664</v>
      </c>
      <c r="I21" s="11">
        <f>LTBL_27119[[#Totals],[法人以外の団体／事業所数]]/LTBL_27119[[#Totals],[総数／事業所数]]</f>
        <v>6.6622251832111927E-4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110</v>
      </c>
      <c r="C24" s="12">
        <v>471</v>
      </c>
      <c r="D24" s="8">
        <v>15.69</v>
      </c>
      <c r="E24" s="12">
        <v>168</v>
      </c>
      <c r="F24" s="8">
        <v>11.17</v>
      </c>
      <c r="G24" s="12">
        <v>303</v>
      </c>
      <c r="H24" s="8">
        <v>20.27</v>
      </c>
      <c r="I24" s="12">
        <v>0</v>
      </c>
    </row>
    <row r="25" spans="2:9" ht="15" customHeight="1" x14ac:dyDescent="0.2">
      <c r="B25" t="s">
        <v>113</v>
      </c>
      <c r="C25" s="12">
        <v>371</v>
      </c>
      <c r="D25" s="8">
        <v>12.36</v>
      </c>
      <c r="E25" s="12">
        <v>328</v>
      </c>
      <c r="F25" s="8">
        <v>21.81</v>
      </c>
      <c r="G25" s="12">
        <v>43</v>
      </c>
      <c r="H25" s="8">
        <v>2.88</v>
      </c>
      <c r="I25" s="12">
        <v>0</v>
      </c>
    </row>
    <row r="26" spans="2:9" ht="15" customHeight="1" x14ac:dyDescent="0.2">
      <c r="B26" t="s">
        <v>114</v>
      </c>
      <c r="C26" s="12">
        <v>240</v>
      </c>
      <c r="D26" s="8">
        <v>7.99</v>
      </c>
      <c r="E26" s="12">
        <v>197</v>
      </c>
      <c r="F26" s="8">
        <v>13.1</v>
      </c>
      <c r="G26" s="12">
        <v>43</v>
      </c>
      <c r="H26" s="8">
        <v>2.88</v>
      </c>
      <c r="I26" s="12">
        <v>0</v>
      </c>
    </row>
    <row r="27" spans="2:9" ht="15" customHeight="1" x14ac:dyDescent="0.2">
      <c r="B27" t="s">
        <v>108</v>
      </c>
      <c r="C27" s="12">
        <v>193</v>
      </c>
      <c r="D27" s="8">
        <v>6.43</v>
      </c>
      <c r="E27" s="12">
        <v>96</v>
      </c>
      <c r="F27" s="8">
        <v>6.38</v>
      </c>
      <c r="G27" s="12">
        <v>97</v>
      </c>
      <c r="H27" s="8">
        <v>6.49</v>
      </c>
      <c r="I27" s="12">
        <v>0</v>
      </c>
    </row>
    <row r="28" spans="2:9" ht="15" customHeight="1" x14ac:dyDescent="0.2">
      <c r="B28" t="s">
        <v>116</v>
      </c>
      <c r="C28" s="12">
        <v>171</v>
      </c>
      <c r="D28" s="8">
        <v>5.7</v>
      </c>
      <c r="E28" s="12">
        <v>145</v>
      </c>
      <c r="F28" s="8">
        <v>9.64</v>
      </c>
      <c r="G28" s="12">
        <v>26</v>
      </c>
      <c r="H28" s="8">
        <v>1.74</v>
      </c>
      <c r="I28" s="12">
        <v>0</v>
      </c>
    </row>
    <row r="29" spans="2:9" ht="15" customHeight="1" x14ac:dyDescent="0.2">
      <c r="B29" t="s">
        <v>106</v>
      </c>
      <c r="C29" s="12">
        <v>143</v>
      </c>
      <c r="D29" s="8">
        <v>4.76</v>
      </c>
      <c r="E29" s="12">
        <v>97</v>
      </c>
      <c r="F29" s="8">
        <v>6.45</v>
      </c>
      <c r="G29" s="12">
        <v>46</v>
      </c>
      <c r="H29" s="8">
        <v>3.08</v>
      </c>
      <c r="I29" s="12">
        <v>0</v>
      </c>
    </row>
    <row r="30" spans="2:9" ht="15" customHeight="1" x14ac:dyDescent="0.2">
      <c r="B30" t="s">
        <v>111</v>
      </c>
      <c r="C30" s="12">
        <v>141</v>
      </c>
      <c r="D30" s="8">
        <v>4.7</v>
      </c>
      <c r="E30" s="12">
        <v>80</v>
      </c>
      <c r="F30" s="8">
        <v>5.32</v>
      </c>
      <c r="G30" s="12">
        <v>61</v>
      </c>
      <c r="H30" s="8">
        <v>4.08</v>
      </c>
      <c r="I30" s="12">
        <v>0</v>
      </c>
    </row>
    <row r="31" spans="2:9" ht="15" customHeight="1" x14ac:dyDescent="0.2">
      <c r="B31" t="s">
        <v>105</v>
      </c>
      <c r="C31" s="12">
        <v>127</v>
      </c>
      <c r="D31" s="8">
        <v>4.2300000000000004</v>
      </c>
      <c r="E31" s="12">
        <v>46</v>
      </c>
      <c r="F31" s="8">
        <v>3.06</v>
      </c>
      <c r="G31" s="12">
        <v>81</v>
      </c>
      <c r="H31" s="8">
        <v>5.42</v>
      </c>
      <c r="I31" s="12">
        <v>0</v>
      </c>
    </row>
    <row r="32" spans="2:9" ht="15" customHeight="1" x14ac:dyDescent="0.2">
      <c r="B32" t="s">
        <v>115</v>
      </c>
      <c r="C32" s="12">
        <v>109</v>
      </c>
      <c r="D32" s="8">
        <v>3.63</v>
      </c>
      <c r="E32" s="12">
        <v>67</v>
      </c>
      <c r="F32" s="8">
        <v>4.45</v>
      </c>
      <c r="G32" s="12">
        <v>41</v>
      </c>
      <c r="H32" s="8">
        <v>2.74</v>
      </c>
      <c r="I32" s="12">
        <v>0</v>
      </c>
    </row>
    <row r="33" spans="2:9" ht="15" customHeight="1" x14ac:dyDescent="0.2">
      <c r="B33" t="s">
        <v>109</v>
      </c>
      <c r="C33" s="12">
        <v>84</v>
      </c>
      <c r="D33" s="8">
        <v>2.8</v>
      </c>
      <c r="E33" s="12">
        <v>15</v>
      </c>
      <c r="F33" s="8">
        <v>1</v>
      </c>
      <c r="G33" s="12">
        <v>69</v>
      </c>
      <c r="H33" s="8">
        <v>4.62</v>
      </c>
      <c r="I33" s="12">
        <v>0</v>
      </c>
    </row>
    <row r="34" spans="2:9" ht="15" customHeight="1" x14ac:dyDescent="0.2">
      <c r="B34" t="s">
        <v>98</v>
      </c>
      <c r="C34" s="12">
        <v>67</v>
      </c>
      <c r="D34" s="8">
        <v>2.23</v>
      </c>
      <c r="E34" s="12">
        <v>13</v>
      </c>
      <c r="F34" s="8">
        <v>0.86</v>
      </c>
      <c r="G34" s="12">
        <v>54</v>
      </c>
      <c r="H34" s="8">
        <v>3.61</v>
      </c>
      <c r="I34" s="12">
        <v>0</v>
      </c>
    </row>
    <row r="35" spans="2:9" ht="15" customHeight="1" x14ac:dyDescent="0.2">
      <c r="B35" t="s">
        <v>104</v>
      </c>
      <c r="C35" s="12">
        <v>63</v>
      </c>
      <c r="D35" s="8">
        <v>2.1</v>
      </c>
      <c r="E35" s="12">
        <v>17</v>
      </c>
      <c r="F35" s="8">
        <v>1.1299999999999999</v>
      </c>
      <c r="G35" s="12">
        <v>46</v>
      </c>
      <c r="H35" s="8">
        <v>3.08</v>
      </c>
      <c r="I35" s="12">
        <v>0</v>
      </c>
    </row>
    <row r="36" spans="2:9" ht="15" customHeight="1" x14ac:dyDescent="0.2">
      <c r="B36" t="s">
        <v>107</v>
      </c>
      <c r="C36" s="12">
        <v>58</v>
      </c>
      <c r="D36" s="8">
        <v>1.93</v>
      </c>
      <c r="E36" s="12">
        <v>34</v>
      </c>
      <c r="F36" s="8">
        <v>2.2599999999999998</v>
      </c>
      <c r="G36" s="12">
        <v>24</v>
      </c>
      <c r="H36" s="8">
        <v>1.61</v>
      </c>
      <c r="I36" s="12">
        <v>0</v>
      </c>
    </row>
    <row r="37" spans="2:9" ht="15" customHeight="1" x14ac:dyDescent="0.2">
      <c r="B37" t="s">
        <v>112</v>
      </c>
      <c r="C37" s="12">
        <v>57</v>
      </c>
      <c r="D37" s="8">
        <v>1.9</v>
      </c>
      <c r="E37" s="12">
        <v>24</v>
      </c>
      <c r="F37" s="8">
        <v>1.6</v>
      </c>
      <c r="G37" s="12">
        <v>33</v>
      </c>
      <c r="H37" s="8">
        <v>2.21</v>
      </c>
      <c r="I37" s="12">
        <v>0</v>
      </c>
    </row>
    <row r="38" spans="2:9" ht="15" customHeight="1" x14ac:dyDescent="0.2">
      <c r="B38" t="s">
        <v>100</v>
      </c>
      <c r="C38" s="12">
        <v>52</v>
      </c>
      <c r="D38" s="8">
        <v>1.73</v>
      </c>
      <c r="E38" s="12">
        <v>14</v>
      </c>
      <c r="F38" s="8">
        <v>0.93</v>
      </c>
      <c r="G38" s="12">
        <v>38</v>
      </c>
      <c r="H38" s="8">
        <v>2.54</v>
      </c>
      <c r="I38" s="12">
        <v>0</v>
      </c>
    </row>
    <row r="39" spans="2:9" ht="15" customHeight="1" x14ac:dyDescent="0.2">
      <c r="B39" t="s">
        <v>99</v>
      </c>
      <c r="C39" s="12">
        <v>46</v>
      </c>
      <c r="D39" s="8">
        <v>1.53</v>
      </c>
      <c r="E39" s="12">
        <v>14</v>
      </c>
      <c r="F39" s="8">
        <v>0.93</v>
      </c>
      <c r="G39" s="12">
        <v>32</v>
      </c>
      <c r="H39" s="8">
        <v>2.14</v>
      </c>
      <c r="I39" s="12">
        <v>0</v>
      </c>
    </row>
    <row r="40" spans="2:9" ht="15" customHeight="1" x14ac:dyDescent="0.2">
      <c r="B40" t="s">
        <v>117</v>
      </c>
      <c r="C40" s="12">
        <v>42</v>
      </c>
      <c r="D40" s="8">
        <v>1.4</v>
      </c>
      <c r="E40" s="12">
        <v>0</v>
      </c>
      <c r="F40" s="8">
        <v>0</v>
      </c>
      <c r="G40" s="12">
        <v>41</v>
      </c>
      <c r="H40" s="8">
        <v>2.74</v>
      </c>
      <c r="I40" s="12">
        <v>1</v>
      </c>
    </row>
    <row r="41" spans="2:9" ht="15" customHeight="1" x14ac:dyDescent="0.2">
      <c r="B41" t="s">
        <v>121</v>
      </c>
      <c r="C41" s="12">
        <v>36</v>
      </c>
      <c r="D41" s="8">
        <v>1.2</v>
      </c>
      <c r="E41" s="12">
        <v>13</v>
      </c>
      <c r="F41" s="8">
        <v>0.86</v>
      </c>
      <c r="G41" s="12">
        <v>23</v>
      </c>
      <c r="H41" s="8">
        <v>1.54</v>
      </c>
      <c r="I41" s="12">
        <v>0</v>
      </c>
    </row>
    <row r="42" spans="2:9" ht="15" customHeight="1" x14ac:dyDescent="0.2">
      <c r="B42" t="s">
        <v>102</v>
      </c>
      <c r="C42" s="12">
        <v>35</v>
      </c>
      <c r="D42" s="8">
        <v>1.17</v>
      </c>
      <c r="E42" s="12">
        <v>7</v>
      </c>
      <c r="F42" s="8">
        <v>0.47</v>
      </c>
      <c r="G42" s="12">
        <v>28</v>
      </c>
      <c r="H42" s="8">
        <v>1.87</v>
      </c>
      <c r="I42" s="12">
        <v>0</v>
      </c>
    </row>
    <row r="43" spans="2:9" ht="15" customHeight="1" x14ac:dyDescent="0.2">
      <c r="B43" t="s">
        <v>118</v>
      </c>
      <c r="C43" s="12">
        <v>34</v>
      </c>
      <c r="D43" s="8">
        <v>1.1299999999999999</v>
      </c>
      <c r="E43" s="12">
        <v>8</v>
      </c>
      <c r="F43" s="8">
        <v>0.53</v>
      </c>
      <c r="G43" s="12">
        <v>26</v>
      </c>
      <c r="H43" s="8">
        <v>1.74</v>
      </c>
      <c r="I43" s="12">
        <v>0</v>
      </c>
    </row>
    <row r="46" spans="2:9" ht="33" customHeight="1" x14ac:dyDescent="0.2">
      <c r="B46" t="s">
        <v>273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160</v>
      </c>
      <c r="C47" s="12">
        <v>268</v>
      </c>
      <c r="D47" s="8">
        <v>8.93</v>
      </c>
      <c r="E47" s="12">
        <v>104</v>
      </c>
      <c r="F47" s="8">
        <v>6.91</v>
      </c>
      <c r="G47" s="12">
        <v>164</v>
      </c>
      <c r="H47" s="8">
        <v>10.97</v>
      </c>
      <c r="I47" s="12">
        <v>0</v>
      </c>
    </row>
    <row r="48" spans="2:9" ht="15" customHeight="1" x14ac:dyDescent="0.2">
      <c r="B48" t="s">
        <v>169</v>
      </c>
      <c r="C48" s="12">
        <v>135</v>
      </c>
      <c r="D48" s="8">
        <v>4.5</v>
      </c>
      <c r="E48" s="12">
        <v>121</v>
      </c>
      <c r="F48" s="8">
        <v>8.0500000000000007</v>
      </c>
      <c r="G48" s="12">
        <v>14</v>
      </c>
      <c r="H48" s="8">
        <v>0.94</v>
      </c>
      <c r="I48" s="12">
        <v>0</v>
      </c>
    </row>
    <row r="49" spans="2:9" ht="15" customHeight="1" x14ac:dyDescent="0.2">
      <c r="B49" t="s">
        <v>171</v>
      </c>
      <c r="C49" s="12">
        <v>123</v>
      </c>
      <c r="D49" s="8">
        <v>4.0999999999999996</v>
      </c>
      <c r="E49" s="12">
        <v>108</v>
      </c>
      <c r="F49" s="8">
        <v>7.18</v>
      </c>
      <c r="G49" s="12">
        <v>15</v>
      </c>
      <c r="H49" s="8">
        <v>1</v>
      </c>
      <c r="I49" s="12">
        <v>0</v>
      </c>
    </row>
    <row r="50" spans="2:9" ht="15" customHeight="1" x14ac:dyDescent="0.2">
      <c r="B50" t="s">
        <v>167</v>
      </c>
      <c r="C50" s="12">
        <v>95</v>
      </c>
      <c r="D50" s="8">
        <v>3.16</v>
      </c>
      <c r="E50" s="12">
        <v>89</v>
      </c>
      <c r="F50" s="8">
        <v>5.92</v>
      </c>
      <c r="G50" s="12">
        <v>6</v>
      </c>
      <c r="H50" s="8">
        <v>0.4</v>
      </c>
      <c r="I50" s="12">
        <v>0</v>
      </c>
    </row>
    <row r="51" spans="2:9" ht="15" customHeight="1" x14ac:dyDescent="0.2">
      <c r="B51" t="s">
        <v>165</v>
      </c>
      <c r="C51" s="12">
        <v>84</v>
      </c>
      <c r="D51" s="8">
        <v>2.8</v>
      </c>
      <c r="E51" s="12">
        <v>76</v>
      </c>
      <c r="F51" s="8">
        <v>5.05</v>
      </c>
      <c r="G51" s="12">
        <v>8</v>
      </c>
      <c r="H51" s="8">
        <v>0.54</v>
      </c>
      <c r="I51" s="12">
        <v>0</v>
      </c>
    </row>
    <row r="52" spans="2:9" ht="15" customHeight="1" x14ac:dyDescent="0.2">
      <c r="B52" t="s">
        <v>170</v>
      </c>
      <c r="C52" s="12">
        <v>77</v>
      </c>
      <c r="D52" s="8">
        <v>2.56</v>
      </c>
      <c r="E52" s="12">
        <v>54</v>
      </c>
      <c r="F52" s="8">
        <v>3.59</v>
      </c>
      <c r="G52" s="12">
        <v>23</v>
      </c>
      <c r="H52" s="8">
        <v>1.54</v>
      </c>
      <c r="I52" s="12">
        <v>0</v>
      </c>
    </row>
    <row r="53" spans="2:9" ht="15" customHeight="1" x14ac:dyDescent="0.2">
      <c r="B53" t="s">
        <v>157</v>
      </c>
      <c r="C53" s="12">
        <v>76</v>
      </c>
      <c r="D53" s="8">
        <v>2.5299999999999998</v>
      </c>
      <c r="E53" s="12">
        <v>48</v>
      </c>
      <c r="F53" s="8">
        <v>3.19</v>
      </c>
      <c r="G53" s="12">
        <v>28</v>
      </c>
      <c r="H53" s="8">
        <v>1.87</v>
      </c>
      <c r="I53" s="12">
        <v>0</v>
      </c>
    </row>
    <row r="54" spans="2:9" ht="15" customHeight="1" x14ac:dyDescent="0.2">
      <c r="B54" t="s">
        <v>161</v>
      </c>
      <c r="C54" s="12">
        <v>74</v>
      </c>
      <c r="D54" s="8">
        <v>2.4700000000000002</v>
      </c>
      <c r="E54" s="12">
        <v>43</v>
      </c>
      <c r="F54" s="8">
        <v>2.86</v>
      </c>
      <c r="G54" s="12">
        <v>31</v>
      </c>
      <c r="H54" s="8">
        <v>2.0699999999999998</v>
      </c>
      <c r="I54" s="12">
        <v>0</v>
      </c>
    </row>
    <row r="55" spans="2:9" ht="15" customHeight="1" x14ac:dyDescent="0.2">
      <c r="B55" t="s">
        <v>158</v>
      </c>
      <c r="C55" s="12">
        <v>71</v>
      </c>
      <c r="D55" s="8">
        <v>2.37</v>
      </c>
      <c r="E55" s="12">
        <v>14</v>
      </c>
      <c r="F55" s="8">
        <v>0.93</v>
      </c>
      <c r="G55" s="12">
        <v>57</v>
      </c>
      <c r="H55" s="8">
        <v>3.81</v>
      </c>
      <c r="I55" s="12">
        <v>0</v>
      </c>
    </row>
    <row r="56" spans="2:9" ht="15" customHeight="1" x14ac:dyDescent="0.2">
      <c r="B56" t="s">
        <v>164</v>
      </c>
      <c r="C56" s="12">
        <v>71</v>
      </c>
      <c r="D56" s="8">
        <v>2.37</v>
      </c>
      <c r="E56" s="12">
        <v>58</v>
      </c>
      <c r="F56" s="8">
        <v>3.86</v>
      </c>
      <c r="G56" s="12">
        <v>13</v>
      </c>
      <c r="H56" s="8">
        <v>0.87</v>
      </c>
      <c r="I56" s="12">
        <v>0</v>
      </c>
    </row>
    <row r="57" spans="2:9" ht="15" customHeight="1" x14ac:dyDescent="0.2">
      <c r="B57" t="s">
        <v>162</v>
      </c>
      <c r="C57" s="12">
        <v>65</v>
      </c>
      <c r="D57" s="8">
        <v>2.17</v>
      </c>
      <c r="E57" s="12">
        <v>7</v>
      </c>
      <c r="F57" s="8">
        <v>0.47</v>
      </c>
      <c r="G57" s="12">
        <v>58</v>
      </c>
      <c r="H57" s="8">
        <v>3.88</v>
      </c>
      <c r="I57" s="12">
        <v>0</v>
      </c>
    </row>
    <row r="58" spans="2:9" ht="15" customHeight="1" x14ac:dyDescent="0.2">
      <c r="B58" t="s">
        <v>159</v>
      </c>
      <c r="C58" s="12">
        <v>64</v>
      </c>
      <c r="D58" s="8">
        <v>2.13</v>
      </c>
      <c r="E58" s="12">
        <v>14</v>
      </c>
      <c r="F58" s="8">
        <v>0.93</v>
      </c>
      <c r="G58" s="12">
        <v>50</v>
      </c>
      <c r="H58" s="8">
        <v>3.34</v>
      </c>
      <c r="I58" s="12">
        <v>0</v>
      </c>
    </row>
    <row r="59" spans="2:9" ht="15" customHeight="1" x14ac:dyDescent="0.2">
      <c r="B59" t="s">
        <v>155</v>
      </c>
      <c r="C59" s="12">
        <v>55</v>
      </c>
      <c r="D59" s="8">
        <v>1.83</v>
      </c>
      <c r="E59" s="12">
        <v>22</v>
      </c>
      <c r="F59" s="8">
        <v>1.46</v>
      </c>
      <c r="G59" s="12">
        <v>33</v>
      </c>
      <c r="H59" s="8">
        <v>2.21</v>
      </c>
      <c r="I59" s="12">
        <v>0</v>
      </c>
    </row>
    <row r="60" spans="2:9" ht="15" customHeight="1" x14ac:dyDescent="0.2">
      <c r="B60" t="s">
        <v>166</v>
      </c>
      <c r="C60" s="12">
        <v>50</v>
      </c>
      <c r="D60" s="8">
        <v>1.67</v>
      </c>
      <c r="E60" s="12">
        <v>49</v>
      </c>
      <c r="F60" s="8">
        <v>3.26</v>
      </c>
      <c r="G60" s="12">
        <v>1</v>
      </c>
      <c r="H60" s="8">
        <v>7.0000000000000007E-2</v>
      </c>
      <c r="I60" s="12">
        <v>0</v>
      </c>
    </row>
    <row r="61" spans="2:9" ht="15" customHeight="1" x14ac:dyDescent="0.2">
      <c r="B61" t="s">
        <v>156</v>
      </c>
      <c r="C61" s="12">
        <v>49</v>
      </c>
      <c r="D61" s="8">
        <v>1.63</v>
      </c>
      <c r="E61" s="12">
        <v>33</v>
      </c>
      <c r="F61" s="8">
        <v>2.19</v>
      </c>
      <c r="G61" s="12">
        <v>16</v>
      </c>
      <c r="H61" s="8">
        <v>1.07</v>
      </c>
      <c r="I61" s="12">
        <v>0</v>
      </c>
    </row>
    <row r="62" spans="2:9" ht="15" customHeight="1" x14ac:dyDescent="0.2">
      <c r="B62" t="s">
        <v>168</v>
      </c>
      <c r="C62" s="12">
        <v>49</v>
      </c>
      <c r="D62" s="8">
        <v>1.63</v>
      </c>
      <c r="E62" s="12">
        <v>46</v>
      </c>
      <c r="F62" s="8">
        <v>3.06</v>
      </c>
      <c r="G62" s="12">
        <v>3</v>
      </c>
      <c r="H62" s="8">
        <v>0.2</v>
      </c>
      <c r="I62" s="12">
        <v>0</v>
      </c>
    </row>
    <row r="63" spans="2:9" ht="15" customHeight="1" x14ac:dyDescent="0.2">
      <c r="B63" t="s">
        <v>163</v>
      </c>
      <c r="C63" s="12">
        <v>41</v>
      </c>
      <c r="D63" s="8">
        <v>1.37</v>
      </c>
      <c r="E63" s="12">
        <v>39</v>
      </c>
      <c r="F63" s="8">
        <v>2.59</v>
      </c>
      <c r="G63" s="12">
        <v>2</v>
      </c>
      <c r="H63" s="8">
        <v>0.13</v>
      </c>
      <c r="I63" s="12">
        <v>0</v>
      </c>
    </row>
    <row r="64" spans="2:9" ht="15" customHeight="1" x14ac:dyDescent="0.2">
      <c r="B64" t="s">
        <v>176</v>
      </c>
      <c r="C64" s="12">
        <v>40</v>
      </c>
      <c r="D64" s="8">
        <v>1.33</v>
      </c>
      <c r="E64" s="12">
        <v>11</v>
      </c>
      <c r="F64" s="8">
        <v>0.73</v>
      </c>
      <c r="G64" s="12">
        <v>29</v>
      </c>
      <c r="H64" s="8">
        <v>1.94</v>
      </c>
      <c r="I64" s="12">
        <v>0</v>
      </c>
    </row>
    <row r="65" spans="2:9" ht="15" customHeight="1" x14ac:dyDescent="0.2">
      <c r="B65" t="s">
        <v>211</v>
      </c>
      <c r="C65" s="12">
        <v>39</v>
      </c>
      <c r="D65" s="8">
        <v>1.3</v>
      </c>
      <c r="E65" s="12">
        <v>36</v>
      </c>
      <c r="F65" s="8">
        <v>2.39</v>
      </c>
      <c r="G65" s="12">
        <v>3</v>
      </c>
      <c r="H65" s="8">
        <v>0.2</v>
      </c>
      <c r="I65" s="12">
        <v>0</v>
      </c>
    </row>
    <row r="66" spans="2:9" ht="15" customHeight="1" x14ac:dyDescent="0.2">
      <c r="B66" t="s">
        <v>195</v>
      </c>
      <c r="C66" s="12">
        <v>34</v>
      </c>
      <c r="D66" s="8">
        <v>1.1299999999999999</v>
      </c>
      <c r="E66" s="12">
        <v>19</v>
      </c>
      <c r="F66" s="8">
        <v>1.26</v>
      </c>
      <c r="G66" s="12">
        <v>15</v>
      </c>
      <c r="H66" s="8">
        <v>1</v>
      </c>
      <c r="I66" s="12">
        <v>0</v>
      </c>
    </row>
    <row r="67" spans="2:9" ht="15" customHeight="1" x14ac:dyDescent="0.2">
      <c r="B67" t="s">
        <v>172</v>
      </c>
      <c r="C67" s="12">
        <v>34</v>
      </c>
      <c r="D67" s="8">
        <v>1.1299999999999999</v>
      </c>
      <c r="E67" s="12">
        <v>14</v>
      </c>
      <c r="F67" s="8">
        <v>0.93</v>
      </c>
      <c r="G67" s="12">
        <v>20</v>
      </c>
      <c r="H67" s="8">
        <v>1.34</v>
      </c>
      <c r="I67" s="12">
        <v>0</v>
      </c>
    </row>
    <row r="69" spans="2:9" ht="15" customHeight="1" x14ac:dyDescent="0.2">
      <c r="B69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06518-0D9F-4075-A89E-80EB59FA4D90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291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325</v>
      </c>
      <c r="D6" s="8">
        <v>10.73</v>
      </c>
      <c r="E6" s="12">
        <v>71</v>
      </c>
      <c r="F6" s="8">
        <v>4.21</v>
      </c>
      <c r="G6" s="12">
        <v>254</v>
      </c>
      <c r="H6" s="8">
        <v>19</v>
      </c>
      <c r="I6" s="12">
        <v>0</v>
      </c>
    </row>
    <row r="7" spans="2:9" ht="15" customHeight="1" x14ac:dyDescent="0.2">
      <c r="B7" t="s">
        <v>77</v>
      </c>
      <c r="C7" s="12">
        <v>149</v>
      </c>
      <c r="D7" s="8">
        <v>4.92</v>
      </c>
      <c r="E7" s="12">
        <v>59</v>
      </c>
      <c r="F7" s="8">
        <v>3.5</v>
      </c>
      <c r="G7" s="12">
        <v>90</v>
      </c>
      <c r="H7" s="8">
        <v>6.73</v>
      </c>
      <c r="I7" s="12">
        <v>0</v>
      </c>
    </row>
    <row r="8" spans="2:9" ht="15" customHeight="1" x14ac:dyDescent="0.2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79</v>
      </c>
      <c r="C9" s="12">
        <v>25</v>
      </c>
      <c r="D9" s="8">
        <v>0.83</v>
      </c>
      <c r="E9" s="12">
        <v>1</v>
      </c>
      <c r="F9" s="8">
        <v>0.06</v>
      </c>
      <c r="G9" s="12">
        <v>24</v>
      </c>
      <c r="H9" s="8">
        <v>1.8</v>
      </c>
      <c r="I9" s="12">
        <v>0</v>
      </c>
    </row>
    <row r="10" spans="2:9" ht="15" customHeight="1" x14ac:dyDescent="0.2">
      <c r="B10" t="s">
        <v>80</v>
      </c>
      <c r="C10" s="12">
        <v>29</v>
      </c>
      <c r="D10" s="8">
        <v>0.96</v>
      </c>
      <c r="E10" s="12">
        <v>17</v>
      </c>
      <c r="F10" s="8">
        <v>1.01</v>
      </c>
      <c r="G10" s="12">
        <v>12</v>
      </c>
      <c r="H10" s="8">
        <v>0.9</v>
      </c>
      <c r="I10" s="12">
        <v>0</v>
      </c>
    </row>
    <row r="11" spans="2:9" ht="15" customHeight="1" x14ac:dyDescent="0.2">
      <c r="B11" t="s">
        <v>81</v>
      </c>
      <c r="C11" s="12">
        <v>607</v>
      </c>
      <c r="D11" s="8">
        <v>20.03</v>
      </c>
      <c r="E11" s="12">
        <v>337</v>
      </c>
      <c r="F11" s="8">
        <v>20</v>
      </c>
      <c r="G11" s="12">
        <v>270</v>
      </c>
      <c r="H11" s="8">
        <v>20.190000000000001</v>
      </c>
      <c r="I11" s="12">
        <v>0</v>
      </c>
    </row>
    <row r="12" spans="2:9" ht="15" customHeight="1" x14ac:dyDescent="0.2">
      <c r="B12" t="s">
        <v>82</v>
      </c>
      <c r="C12" s="12">
        <v>15</v>
      </c>
      <c r="D12" s="8">
        <v>0.5</v>
      </c>
      <c r="E12" s="12">
        <v>2</v>
      </c>
      <c r="F12" s="8">
        <v>0.12</v>
      </c>
      <c r="G12" s="12">
        <v>13</v>
      </c>
      <c r="H12" s="8">
        <v>0.97</v>
      </c>
      <c r="I12" s="12">
        <v>0</v>
      </c>
    </row>
    <row r="13" spans="2:9" ht="15" customHeight="1" x14ac:dyDescent="0.2">
      <c r="B13" t="s">
        <v>83</v>
      </c>
      <c r="C13" s="12">
        <v>585</v>
      </c>
      <c r="D13" s="8">
        <v>19.309999999999999</v>
      </c>
      <c r="E13" s="12">
        <v>225</v>
      </c>
      <c r="F13" s="8">
        <v>13.35</v>
      </c>
      <c r="G13" s="12">
        <v>359</v>
      </c>
      <c r="H13" s="8">
        <v>26.85</v>
      </c>
      <c r="I13" s="12">
        <v>1</v>
      </c>
    </row>
    <row r="14" spans="2:9" ht="15" customHeight="1" x14ac:dyDescent="0.2">
      <c r="B14" t="s">
        <v>84</v>
      </c>
      <c r="C14" s="12">
        <v>133</v>
      </c>
      <c r="D14" s="8">
        <v>4.3899999999999997</v>
      </c>
      <c r="E14" s="12">
        <v>72</v>
      </c>
      <c r="F14" s="8">
        <v>4.2699999999999996</v>
      </c>
      <c r="G14" s="12">
        <v>61</v>
      </c>
      <c r="H14" s="8">
        <v>4.5599999999999996</v>
      </c>
      <c r="I14" s="12">
        <v>0</v>
      </c>
    </row>
    <row r="15" spans="2:9" ht="15" customHeight="1" x14ac:dyDescent="0.2">
      <c r="B15" t="s">
        <v>85</v>
      </c>
      <c r="C15" s="12">
        <v>385</v>
      </c>
      <c r="D15" s="8">
        <v>12.71</v>
      </c>
      <c r="E15" s="12">
        <v>334</v>
      </c>
      <c r="F15" s="8">
        <v>19.82</v>
      </c>
      <c r="G15" s="12">
        <v>51</v>
      </c>
      <c r="H15" s="8">
        <v>3.81</v>
      </c>
      <c r="I15" s="12">
        <v>0</v>
      </c>
    </row>
    <row r="16" spans="2:9" ht="15" customHeight="1" x14ac:dyDescent="0.2">
      <c r="B16" t="s">
        <v>86</v>
      </c>
      <c r="C16" s="12">
        <v>384</v>
      </c>
      <c r="D16" s="8">
        <v>12.67</v>
      </c>
      <c r="E16" s="12">
        <v>316</v>
      </c>
      <c r="F16" s="8">
        <v>18.75</v>
      </c>
      <c r="G16" s="12">
        <v>68</v>
      </c>
      <c r="H16" s="8">
        <v>5.09</v>
      </c>
      <c r="I16" s="12">
        <v>0</v>
      </c>
    </row>
    <row r="17" spans="2:9" ht="15" customHeight="1" x14ac:dyDescent="0.2">
      <c r="B17" t="s">
        <v>87</v>
      </c>
      <c r="C17" s="12">
        <v>85</v>
      </c>
      <c r="D17" s="8">
        <v>2.81</v>
      </c>
      <c r="E17" s="12">
        <v>70</v>
      </c>
      <c r="F17" s="8">
        <v>4.1500000000000004</v>
      </c>
      <c r="G17" s="12">
        <v>12</v>
      </c>
      <c r="H17" s="8">
        <v>0.9</v>
      </c>
      <c r="I17" s="12">
        <v>2</v>
      </c>
    </row>
    <row r="18" spans="2:9" ht="15" customHeight="1" x14ac:dyDescent="0.2">
      <c r="B18" t="s">
        <v>88</v>
      </c>
      <c r="C18" s="12">
        <v>245</v>
      </c>
      <c r="D18" s="8">
        <v>8.09</v>
      </c>
      <c r="E18" s="12">
        <v>168</v>
      </c>
      <c r="F18" s="8">
        <v>9.9700000000000006</v>
      </c>
      <c r="G18" s="12">
        <v>75</v>
      </c>
      <c r="H18" s="8">
        <v>5.61</v>
      </c>
      <c r="I18" s="12">
        <v>2</v>
      </c>
    </row>
    <row r="19" spans="2:9" ht="15" customHeight="1" x14ac:dyDescent="0.2">
      <c r="B19" t="s">
        <v>89</v>
      </c>
      <c r="C19" s="12">
        <v>63</v>
      </c>
      <c r="D19" s="8">
        <v>2.08</v>
      </c>
      <c r="E19" s="12">
        <v>13</v>
      </c>
      <c r="F19" s="8">
        <v>0.77</v>
      </c>
      <c r="G19" s="12">
        <v>48</v>
      </c>
      <c r="H19" s="8">
        <v>3.59</v>
      </c>
      <c r="I19" s="12">
        <v>2</v>
      </c>
    </row>
    <row r="20" spans="2:9" ht="15" customHeight="1" x14ac:dyDescent="0.2">
      <c r="B20" s="9" t="s">
        <v>271</v>
      </c>
      <c r="C20" s="12">
        <f>SUM(LTBL_27120[総数／事業所数])</f>
        <v>3030</v>
      </c>
      <c r="E20" s="12">
        <f>SUBTOTAL(109,LTBL_27120[個人／事業所数])</f>
        <v>1685</v>
      </c>
      <c r="G20" s="12">
        <f>SUBTOTAL(109,LTBL_27120[法人／事業所数])</f>
        <v>1337</v>
      </c>
      <c r="I20" s="12">
        <f>SUBTOTAL(109,LTBL_27120[法人以外の団体／事業所数])</f>
        <v>7</v>
      </c>
    </row>
    <row r="21" spans="2:9" ht="15" customHeight="1" x14ac:dyDescent="0.2">
      <c r="E21" s="11">
        <f>LTBL_27120[[#Totals],[個人／事業所数]]/LTBL_27120[[#Totals],[総数／事業所数]]</f>
        <v>0.55610561056105612</v>
      </c>
      <c r="G21" s="11">
        <f>LTBL_27120[[#Totals],[法人／事業所数]]/LTBL_27120[[#Totals],[総数／事業所数]]</f>
        <v>0.44125412541254128</v>
      </c>
      <c r="I21" s="11">
        <f>LTBL_27120[[#Totals],[法人以外の団体／事業所数]]/LTBL_27120[[#Totals],[総数／事業所数]]</f>
        <v>2.3102310231023103E-3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110</v>
      </c>
      <c r="C24" s="12">
        <v>486</v>
      </c>
      <c r="D24" s="8">
        <v>16.04</v>
      </c>
      <c r="E24" s="12">
        <v>200</v>
      </c>
      <c r="F24" s="8">
        <v>11.87</v>
      </c>
      <c r="G24" s="12">
        <v>286</v>
      </c>
      <c r="H24" s="8">
        <v>21.39</v>
      </c>
      <c r="I24" s="12">
        <v>0</v>
      </c>
    </row>
    <row r="25" spans="2:9" ht="15" customHeight="1" x14ac:dyDescent="0.2">
      <c r="B25" t="s">
        <v>113</v>
      </c>
      <c r="C25" s="12">
        <v>359</v>
      </c>
      <c r="D25" s="8">
        <v>11.85</v>
      </c>
      <c r="E25" s="12">
        <v>326</v>
      </c>
      <c r="F25" s="8">
        <v>19.350000000000001</v>
      </c>
      <c r="G25" s="12">
        <v>33</v>
      </c>
      <c r="H25" s="8">
        <v>2.4700000000000002</v>
      </c>
      <c r="I25" s="12">
        <v>0</v>
      </c>
    </row>
    <row r="26" spans="2:9" ht="15" customHeight="1" x14ac:dyDescent="0.2">
      <c r="B26" t="s">
        <v>114</v>
      </c>
      <c r="C26" s="12">
        <v>307</v>
      </c>
      <c r="D26" s="8">
        <v>10.130000000000001</v>
      </c>
      <c r="E26" s="12">
        <v>269</v>
      </c>
      <c r="F26" s="8">
        <v>15.96</v>
      </c>
      <c r="G26" s="12">
        <v>38</v>
      </c>
      <c r="H26" s="8">
        <v>2.84</v>
      </c>
      <c r="I26" s="12">
        <v>0</v>
      </c>
    </row>
    <row r="27" spans="2:9" ht="15" customHeight="1" x14ac:dyDescent="0.2">
      <c r="B27" t="s">
        <v>116</v>
      </c>
      <c r="C27" s="12">
        <v>201</v>
      </c>
      <c r="D27" s="8">
        <v>6.63</v>
      </c>
      <c r="E27" s="12">
        <v>168</v>
      </c>
      <c r="F27" s="8">
        <v>9.9700000000000006</v>
      </c>
      <c r="G27" s="12">
        <v>33</v>
      </c>
      <c r="H27" s="8">
        <v>2.4700000000000002</v>
      </c>
      <c r="I27" s="12">
        <v>0</v>
      </c>
    </row>
    <row r="28" spans="2:9" ht="15" customHeight="1" x14ac:dyDescent="0.2">
      <c r="B28" t="s">
        <v>108</v>
      </c>
      <c r="C28" s="12">
        <v>169</v>
      </c>
      <c r="D28" s="8">
        <v>5.58</v>
      </c>
      <c r="E28" s="12">
        <v>123</v>
      </c>
      <c r="F28" s="8">
        <v>7.3</v>
      </c>
      <c r="G28" s="12">
        <v>46</v>
      </c>
      <c r="H28" s="8">
        <v>3.44</v>
      </c>
      <c r="I28" s="12">
        <v>0</v>
      </c>
    </row>
    <row r="29" spans="2:9" ht="15" customHeight="1" x14ac:dyDescent="0.2">
      <c r="B29" t="s">
        <v>98</v>
      </c>
      <c r="C29" s="12">
        <v>127</v>
      </c>
      <c r="D29" s="8">
        <v>4.1900000000000004</v>
      </c>
      <c r="E29" s="12">
        <v>23</v>
      </c>
      <c r="F29" s="8">
        <v>1.36</v>
      </c>
      <c r="G29" s="12">
        <v>104</v>
      </c>
      <c r="H29" s="8">
        <v>7.78</v>
      </c>
      <c r="I29" s="12">
        <v>0</v>
      </c>
    </row>
    <row r="30" spans="2:9" ht="15" customHeight="1" x14ac:dyDescent="0.2">
      <c r="B30" t="s">
        <v>106</v>
      </c>
      <c r="C30" s="12">
        <v>120</v>
      </c>
      <c r="D30" s="8">
        <v>3.96</v>
      </c>
      <c r="E30" s="12">
        <v>96</v>
      </c>
      <c r="F30" s="8">
        <v>5.7</v>
      </c>
      <c r="G30" s="12">
        <v>24</v>
      </c>
      <c r="H30" s="8">
        <v>1.8</v>
      </c>
      <c r="I30" s="12">
        <v>0</v>
      </c>
    </row>
    <row r="31" spans="2:9" ht="15" customHeight="1" x14ac:dyDescent="0.2">
      <c r="B31" t="s">
        <v>100</v>
      </c>
      <c r="C31" s="12">
        <v>106</v>
      </c>
      <c r="D31" s="8">
        <v>3.5</v>
      </c>
      <c r="E31" s="12">
        <v>30</v>
      </c>
      <c r="F31" s="8">
        <v>1.78</v>
      </c>
      <c r="G31" s="12">
        <v>76</v>
      </c>
      <c r="H31" s="8">
        <v>5.68</v>
      </c>
      <c r="I31" s="12">
        <v>0</v>
      </c>
    </row>
    <row r="32" spans="2:9" ht="15" customHeight="1" x14ac:dyDescent="0.2">
      <c r="B32" t="s">
        <v>99</v>
      </c>
      <c r="C32" s="12">
        <v>92</v>
      </c>
      <c r="D32" s="8">
        <v>3.04</v>
      </c>
      <c r="E32" s="12">
        <v>18</v>
      </c>
      <c r="F32" s="8">
        <v>1.07</v>
      </c>
      <c r="G32" s="12">
        <v>74</v>
      </c>
      <c r="H32" s="8">
        <v>5.53</v>
      </c>
      <c r="I32" s="12">
        <v>0</v>
      </c>
    </row>
    <row r="33" spans="2:9" ht="15" customHeight="1" x14ac:dyDescent="0.2">
      <c r="B33" t="s">
        <v>109</v>
      </c>
      <c r="C33" s="12">
        <v>88</v>
      </c>
      <c r="D33" s="8">
        <v>2.9</v>
      </c>
      <c r="E33" s="12">
        <v>24</v>
      </c>
      <c r="F33" s="8">
        <v>1.42</v>
      </c>
      <c r="G33" s="12">
        <v>63</v>
      </c>
      <c r="H33" s="8">
        <v>4.71</v>
      </c>
      <c r="I33" s="12">
        <v>1</v>
      </c>
    </row>
    <row r="34" spans="2:9" ht="15" customHeight="1" x14ac:dyDescent="0.2">
      <c r="B34" t="s">
        <v>115</v>
      </c>
      <c r="C34" s="12">
        <v>85</v>
      </c>
      <c r="D34" s="8">
        <v>2.81</v>
      </c>
      <c r="E34" s="12">
        <v>70</v>
      </c>
      <c r="F34" s="8">
        <v>4.1500000000000004</v>
      </c>
      <c r="G34" s="12">
        <v>12</v>
      </c>
      <c r="H34" s="8">
        <v>0.9</v>
      </c>
      <c r="I34" s="12">
        <v>2</v>
      </c>
    </row>
    <row r="35" spans="2:9" ht="15" customHeight="1" x14ac:dyDescent="0.2">
      <c r="B35" t="s">
        <v>111</v>
      </c>
      <c r="C35" s="12">
        <v>75</v>
      </c>
      <c r="D35" s="8">
        <v>2.48</v>
      </c>
      <c r="E35" s="12">
        <v>48</v>
      </c>
      <c r="F35" s="8">
        <v>2.85</v>
      </c>
      <c r="G35" s="12">
        <v>27</v>
      </c>
      <c r="H35" s="8">
        <v>2.02</v>
      </c>
      <c r="I35" s="12">
        <v>0</v>
      </c>
    </row>
    <row r="36" spans="2:9" ht="15" customHeight="1" x14ac:dyDescent="0.2">
      <c r="B36" t="s">
        <v>105</v>
      </c>
      <c r="C36" s="12">
        <v>67</v>
      </c>
      <c r="D36" s="8">
        <v>2.21</v>
      </c>
      <c r="E36" s="12">
        <v>44</v>
      </c>
      <c r="F36" s="8">
        <v>2.61</v>
      </c>
      <c r="G36" s="12">
        <v>23</v>
      </c>
      <c r="H36" s="8">
        <v>1.72</v>
      </c>
      <c r="I36" s="12">
        <v>0</v>
      </c>
    </row>
    <row r="37" spans="2:9" ht="15" customHeight="1" x14ac:dyDescent="0.2">
      <c r="B37" t="s">
        <v>107</v>
      </c>
      <c r="C37" s="12">
        <v>65</v>
      </c>
      <c r="D37" s="8">
        <v>2.15</v>
      </c>
      <c r="E37" s="12">
        <v>44</v>
      </c>
      <c r="F37" s="8">
        <v>2.61</v>
      </c>
      <c r="G37" s="12">
        <v>21</v>
      </c>
      <c r="H37" s="8">
        <v>1.57</v>
      </c>
      <c r="I37" s="12">
        <v>0</v>
      </c>
    </row>
    <row r="38" spans="2:9" ht="15" customHeight="1" x14ac:dyDescent="0.2">
      <c r="B38" t="s">
        <v>104</v>
      </c>
      <c r="C38" s="12">
        <v>63</v>
      </c>
      <c r="D38" s="8">
        <v>2.08</v>
      </c>
      <c r="E38" s="12">
        <v>12</v>
      </c>
      <c r="F38" s="8">
        <v>0.71</v>
      </c>
      <c r="G38" s="12">
        <v>51</v>
      </c>
      <c r="H38" s="8">
        <v>3.81</v>
      </c>
      <c r="I38" s="12">
        <v>0</v>
      </c>
    </row>
    <row r="39" spans="2:9" ht="15" customHeight="1" x14ac:dyDescent="0.2">
      <c r="B39" t="s">
        <v>130</v>
      </c>
      <c r="C39" s="12">
        <v>61</v>
      </c>
      <c r="D39" s="8">
        <v>2.0099999999999998</v>
      </c>
      <c r="E39" s="12">
        <v>39</v>
      </c>
      <c r="F39" s="8">
        <v>2.31</v>
      </c>
      <c r="G39" s="12">
        <v>22</v>
      </c>
      <c r="H39" s="8">
        <v>1.65</v>
      </c>
      <c r="I39" s="12">
        <v>0</v>
      </c>
    </row>
    <row r="40" spans="2:9" ht="15" customHeight="1" x14ac:dyDescent="0.2">
      <c r="B40" t="s">
        <v>112</v>
      </c>
      <c r="C40" s="12">
        <v>48</v>
      </c>
      <c r="D40" s="8">
        <v>1.58</v>
      </c>
      <c r="E40" s="12">
        <v>22</v>
      </c>
      <c r="F40" s="8">
        <v>1.31</v>
      </c>
      <c r="G40" s="12">
        <v>26</v>
      </c>
      <c r="H40" s="8">
        <v>1.94</v>
      </c>
      <c r="I40" s="12">
        <v>0</v>
      </c>
    </row>
    <row r="41" spans="2:9" ht="15" customHeight="1" x14ac:dyDescent="0.2">
      <c r="B41" t="s">
        <v>117</v>
      </c>
      <c r="C41" s="12">
        <v>44</v>
      </c>
      <c r="D41" s="8">
        <v>1.45</v>
      </c>
      <c r="E41" s="12">
        <v>0</v>
      </c>
      <c r="F41" s="8">
        <v>0</v>
      </c>
      <c r="G41" s="12">
        <v>42</v>
      </c>
      <c r="H41" s="8">
        <v>3.14</v>
      </c>
      <c r="I41" s="12">
        <v>2</v>
      </c>
    </row>
    <row r="42" spans="2:9" ht="15" customHeight="1" x14ac:dyDescent="0.2">
      <c r="B42" t="s">
        <v>119</v>
      </c>
      <c r="C42" s="12">
        <v>36</v>
      </c>
      <c r="D42" s="8">
        <v>1.19</v>
      </c>
      <c r="E42" s="12">
        <v>5</v>
      </c>
      <c r="F42" s="8">
        <v>0.3</v>
      </c>
      <c r="G42" s="12">
        <v>31</v>
      </c>
      <c r="H42" s="8">
        <v>2.3199999999999998</v>
      </c>
      <c r="I42" s="12">
        <v>0</v>
      </c>
    </row>
    <row r="43" spans="2:9" ht="15" customHeight="1" x14ac:dyDescent="0.2">
      <c r="B43" t="s">
        <v>135</v>
      </c>
      <c r="C43" s="12">
        <v>30</v>
      </c>
      <c r="D43" s="8">
        <v>0.99</v>
      </c>
      <c r="E43" s="12">
        <v>2</v>
      </c>
      <c r="F43" s="8">
        <v>0.12</v>
      </c>
      <c r="G43" s="12">
        <v>28</v>
      </c>
      <c r="H43" s="8">
        <v>2.09</v>
      </c>
      <c r="I43" s="12">
        <v>0</v>
      </c>
    </row>
    <row r="46" spans="2:9" ht="33" customHeight="1" x14ac:dyDescent="0.2">
      <c r="B46" t="s">
        <v>273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160</v>
      </c>
      <c r="C47" s="12">
        <v>298</v>
      </c>
      <c r="D47" s="8">
        <v>9.83</v>
      </c>
      <c r="E47" s="12">
        <v>146</v>
      </c>
      <c r="F47" s="8">
        <v>8.66</v>
      </c>
      <c r="G47" s="12">
        <v>152</v>
      </c>
      <c r="H47" s="8">
        <v>11.37</v>
      </c>
      <c r="I47" s="12">
        <v>0</v>
      </c>
    </row>
    <row r="48" spans="2:9" ht="15" customHeight="1" x14ac:dyDescent="0.2">
      <c r="B48" t="s">
        <v>169</v>
      </c>
      <c r="C48" s="12">
        <v>142</v>
      </c>
      <c r="D48" s="8">
        <v>4.6900000000000004</v>
      </c>
      <c r="E48" s="12">
        <v>131</v>
      </c>
      <c r="F48" s="8">
        <v>7.77</v>
      </c>
      <c r="G48" s="12">
        <v>11</v>
      </c>
      <c r="H48" s="8">
        <v>0.82</v>
      </c>
      <c r="I48" s="12">
        <v>0</v>
      </c>
    </row>
    <row r="49" spans="2:9" ht="15" customHeight="1" x14ac:dyDescent="0.2">
      <c r="B49" t="s">
        <v>171</v>
      </c>
      <c r="C49" s="12">
        <v>138</v>
      </c>
      <c r="D49" s="8">
        <v>4.55</v>
      </c>
      <c r="E49" s="12">
        <v>116</v>
      </c>
      <c r="F49" s="8">
        <v>6.88</v>
      </c>
      <c r="G49" s="12">
        <v>22</v>
      </c>
      <c r="H49" s="8">
        <v>1.65</v>
      </c>
      <c r="I49" s="12">
        <v>0</v>
      </c>
    </row>
    <row r="50" spans="2:9" ht="15" customHeight="1" x14ac:dyDescent="0.2">
      <c r="B50" t="s">
        <v>167</v>
      </c>
      <c r="C50" s="12">
        <v>116</v>
      </c>
      <c r="D50" s="8">
        <v>3.83</v>
      </c>
      <c r="E50" s="12">
        <v>113</v>
      </c>
      <c r="F50" s="8">
        <v>6.71</v>
      </c>
      <c r="G50" s="12">
        <v>3</v>
      </c>
      <c r="H50" s="8">
        <v>0.22</v>
      </c>
      <c r="I50" s="12">
        <v>0</v>
      </c>
    </row>
    <row r="51" spans="2:9" ht="15" customHeight="1" x14ac:dyDescent="0.2">
      <c r="B51" t="s">
        <v>168</v>
      </c>
      <c r="C51" s="12">
        <v>97</v>
      </c>
      <c r="D51" s="8">
        <v>3.2</v>
      </c>
      <c r="E51" s="12">
        <v>94</v>
      </c>
      <c r="F51" s="8">
        <v>5.58</v>
      </c>
      <c r="G51" s="12">
        <v>3</v>
      </c>
      <c r="H51" s="8">
        <v>0.22</v>
      </c>
      <c r="I51" s="12">
        <v>0</v>
      </c>
    </row>
    <row r="52" spans="2:9" ht="15" customHeight="1" x14ac:dyDescent="0.2">
      <c r="B52" t="s">
        <v>157</v>
      </c>
      <c r="C52" s="12">
        <v>75</v>
      </c>
      <c r="D52" s="8">
        <v>2.48</v>
      </c>
      <c r="E52" s="12">
        <v>66</v>
      </c>
      <c r="F52" s="8">
        <v>3.92</v>
      </c>
      <c r="G52" s="12">
        <v>9</v>
      </c>
      <c r="H52" s="8">
        <v>0.67</v>
      </c>
      <c r="I52" s="12">
        <v>0</v>
      </c>
    </row>
    <row r="53" spans="2:9" ht="15" customHeight="1" x14ac:dyDescent="0.2">
      <c r="B53" t="s">
        <v>162</v>
      </c>
      <c r="C53" s="12">
        <v>70</v>
      </c>
      <c r="D53" s="8">
        <v>2.31</v>
      </c>
      <c r="E53" s="12">
        <v>2</v>
      </c>
      <c r="F53" s="8">
        <v>0.12</v>
      </c>
      <c r="G53" s="12">
        <v>68</v>
      </c>
      <c r="H53" s="8">
        <v>5.09</v>
      </c>
      <c r="I53" s="12">
        <v>0</v>
      </c>
    </row>
    <row r="54" spans="2:9" ht="15" customHeight="1" x14ac:dyDescent="0.2">
      <c r="B54" t="s">
        <v>158</v>
      </c>
      <c r="C54" s="12">
        <v>69</v>
      </c>
      <c r="D54" s="8">
        <v>2.2799999999999998</v>
      </c>
      <c r="E54" s="12">
        <v>19</v>
      </c>
      <c r="F54" s="8">
        <v>1.1299999999999999</v>
      </c>
      <c r="G54" s="12">
        <v>49</v>
      </c>
      <c r="H54" s="8">
        <v>3.66</v>
      </c>
      <c r="I54" s="12">
        <v>1</v>
      </c>
    </row>
    <row r="55" spans="2:9" ht="15" customHeight="1" x14ac:dyDescent="0.2">
      <c r="B55" t="s">
        <v>164</v>
      </c>
      <c r="C55" s="12">
        <v>69</v>
      </c>
      <c r="D55" s="8">
        <v>2.2799999999999998</v>
      </c>
      <c r="E55" s="12">
        <v>59</v>
      </c>
      <c r="F55" s="8">
        <v>3.5</v>
      </c>
      <c r="G55" s="12">
        <v>10</v>
      </c>
      <c r="H55" s="8">
        <v>0.75</v>
      </c>
      <c r="I55" s="12">
        <v>0</v>
      </c>
    </row>
    <row r="56" spans="2:9" ht="15" customHeight="1" x14ac:dyDescent="0.2">
      <c r="B56" t="s">
        <v>161</v>
      </c>
      <c r="C56" s="12">
        <v>68</v>
      </c>
      <c r="D56" s="8">
        <v>2.2400000000000002</v>
      </c>
      <c r="E56" s="12">
        <v>44</v>
      </c>
      <c r="F56" s="8">
        <v>2.61</v>
      </c>
      <c r="G56" s="12">
        <v>24</v>
      </c>
      <c r="H56" s="8">
        <v>1.8</v>
      </c>
      <c r="I56" s="12">
        <v>0</v>
      </c>
    </row>
    <row r="57" spans="2:9" ht="15" customHeight="1" x14ac:dyDescent="0.2">
      <c r="B57" t="s">
        <v>165</v>
      </c>
      <c r="C57" s="12">
        <v>68</v>
      </c>
      <c r="D57" s="8">
        <v>2.2400000000000002</v>
      </c>
      <c r="E57" s="12">
        <v>62</v>
      </c>
      <c r="F57" s="8">
        <v>3.68</v>
      </c>
      <c r="G57" s="12">
        <v>6</v>
      </c>
      <c r="H57" s="8">
        <v>0.45</v>
      </c>
      <c r="I57" s="12">
        <v>0</v>
      </c>
    </row>
    <row r="58" spans="2:9" ht="15" customHeight="1" x14ac:dyDescent="0.2">
      <c r="B58" t="s">
        <v>170</v>
      </c>
      <c r="C58" s="12">
        <v>57</v>
      </c>
      <c r="D58" s="8">
        <v>1.88</v>
      </c>
      <c r="E58" s="12">
        <v>50</v>
      </c>
      <c r="F58" s="8">
        <v>2.97</v>
      </c>
      <c r="G58" s="12">
        <v>6</v>
      </c>
      <c r="H58" s="8">
        <v>0.45</v>
      </c>
      <c r="I58" s="12">
        <v>1</v>
      </c>
    </row>
    <row r="59" spans="2:9" ht="15" customHeight="1" x14ac:dyDescent="0.2">
      <c r="B59" t="s">
        <v>211</v>
      </c>
      <c r="C59" s="12">
        <v>55</v>
      </c>
      <c r="D59" s="8">
        <v>1.82</v>
      </c>
      <c r="E59" s="12">
        <v>50</v>
      </c>
      <c r="F59" s="8">
        <v>2.97</v>
      </c>
      <c r="G59" s="12">
        <v>5</v>
      </c>
      <c r="H59" s="8">
        <v>0.37</v>
      </c>
      <c r="I59" s="12">
        <v>0</v>
      </c>
    </row>
    <row r="60" spans="2:9" ht="15" customHeight="1" x14ac:dyDescent="0.2">
      <c r="B60" t="s">
        <v>153</v>
      </c>
      <c r="C60" s="12">
        <v>53</v>
      </c>
      <c r="D60" s="8">
        <v>1.75</v>
      </c>
      <c r="E60" s="12">
        <v>15</v>
      </c>
      <c r="F60" s="8">
        <v>0.89</v>
      </c>
      <c r="G60" s="12">
        <v>38</v>
      </c>
      <c r="H60" s="8">
        <v>2.84</v>
      </c>
      <c r="I60" s="12">
        <v>0</v>
      </c>
    </row>
    <row r="61" spans="2:9" ht="15" customHeight="1" x14ac:dyDescent="0.2">
      <c r="B61" t="s">
        <v>159</v>
      </c>
      <c r="C61" s="12">
        <v>50</v>
      </c>
      <c r="D61" s="8">
        <v>1.65</v>
      </c>
      <c r="E61" s="12">
        <v>8</v>
      </c>
      <c r="F61" s="8">
        <v>0.47</v>
      </c>
      <c r="G61" s="12">
        <v>42</v>
      </c>
      <c r="H61" s="8">
        <v>3.14</v>
      </c>
      <c r="I61" s="12">
        <v>0</v>
      </c>
    </row>
    <row r="62" spans="2:9" ht="15" customHeight="1" x14ac:dyDescent="0.2">
      <c r="B62" t="s">
        <v>152</v>
      </c>
      <c r="C62" s="12">
        <v>48</v>
      </c>
      <c r="D62" s="8">
        <v>1.58</v>
      </c>
      <c r="E62" s="12">
        <v>4</v>
      </c>
      <c r="F62" s="8">
        <v>0.24</v>
      </c>
      <c r="G62" s="12">
        <v>44</v>
      </c>
      <c r="H62" s="8">
        <v>3.29</v>
      </c>
      <c r="I62" s="12">
        <v>0</v>
      </c>
    </row>
    <row r="63" spans="2:9" ht="15" customHeight="1" x14ac:dyDescent="0.2">
      <c r="B63" t="s">
        <v>176</v>
      </c>
      <c r="C63" s="12">
        <v>47</v>
      </c>
      <c r="D63" s="8">
        <v>1.55</v>
      </c>
      <c r="E63" s="12">
        <v>23</v>
      </c>
      <c r="F63" s="8">
        <v>1.36</v>
      </c>
      <c r="G63" s="12">
        <v>24</v>
      </c>
      <c r="H63" s="8">
        <v>1.8</v>
      </c>
      <c r="I63" s="12">
        <v>0</v>
      </c>
    </row>
    <row r="64" spans="2:9" ht="15" customHeight="1" x14ac:dyDescent="0.2">
      <c r="B64" t="s">
        <v>210</v>
      </c>
      <c r="C64" s="12">
        <v>46</v>
      </c>
      <c r="D64" s="8">
        <v>1.52</v>
      </c>
      <c r="E64" s="12">
        <v>12</v>
      </c>
      <c r="F64" s="8">
        <v>0.71</v>
      </c>
      <c r="G64" s="12">
        <v>34</v>
      </c>
      <c r="H64" s="8">
        <v>2.54</v>
      </c>
      <c r="I64" s="12">
        <v>0</v>
      </c>
    </row>
    <row r="65" spans="2:9" ht="15" customHeight="1" x14ac:dyDescent="0.2">
      <c r="B65" t="s">
        <v>154</v>
      </c>
      <c r="C65" s="12">
        <v>44</v>
      </c>
      <c r="D65" s="8">
        <v>1.45</v>
      </c>
      <c r="E65" s="12">
        <v>9</v>
      </c>
      <c r="F65" s="8">
        <v>0.53</v>
      </c>
      <c r="G65" s="12">
        <v>35</v>
      </c>
      <c r="H65" s="8">
        <v>2.62</v>
      </c>
      <c r="I65" s="12">
        <v>0</v>
      </c>
    </row>
    <row r="66" spans="2:9" ht="15" customHeight="1" x14ac:dyDescent="0.2">
      <c r="B66" t="s">
        <v>156</v>
      </c>
      <c r="C66" s="12">
        <v>42</v>
      </c>
      <c r="D66" s="8">
        <v>1.39</v>
      </c>
      <c r="E66" s="12">
        <v>34</v>
      </c>
      <c r="F66" s="8">
        <v>2.02</v>
      </c>
      <c r="G66" s="12">
        <v>8</v>
      </c>
      <c r="H66" s="8">
        <v>0.6</v>
      </c>
      <c r="I66" s="12">
        <v>0</v>
      </c>
    </row>
    <row r="68" spans="2:9" ht="15" customHeight="1" x14ac:dyDescent="0.2">
      <c r="B68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B6E48-65F2-407B-AA2D-B013E82E4BB7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292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388</v>
      </c>
      <c r="D6" s="8">
        <v>11.14</v>
      </c>
      <c r="E6" s="12">
        <v>90</v>
      </c>
      <c r="F6" s="8">
        <v>4.82</v>
      </c>
      <c r="G6" s="12">
        <v>298</v>
      </c>
      <c r="H6" s="8">
        <v>18.59</v>
      </c>
      <c r="I6" s="12">
        <v>0</v>
      </c>
    </row>
    <row r="7" spans="2:9" ht="15" customHeight="1" x14ac:dyDescent="0.2">
      <c r="B7" t="s">
        <v>77</v>
      </c>
      <c r="C7" s="12">
        <v>471</v>
      </c>
      <c r="D7" s="8">
        <v>13.52</v>
      </c>
      <c r="E7" s="12">
        <v>194</v>
      </c>
      <c r="F7" s="8">
        <v>10.39</v>
      </c>
      <c r="G7" s="12">
        <v>274</v>
      </c>
      <c r="H7" s="8">
        <v>17.09</v>
      </c>
      <c r="I7" s="12">
        <v>3</v>
      </c>
    </row>
    <row r="8" spans="2:9" ht="15" customHeight="1" x14ac:dyDescent="0.2">
      <c r="B8" t="s">
        <v>78</v>
      </c>
      <c r="C8" s="12">
        <v>1</v>
      </c>
      <c r="D8" s="8">
        <v>0.03</v>
      </c>
      <c r="E8" s="12">
        <v>0</v>
      </c>
      <c r="F8" s="8">
        <v>0</v>
      </c>
      <c r="G8" s="12">
        <v>1</v>
      </c>
      <c r="H8" s="8">
        <v>0.06</v>
      </c>
      <c r="I8" s="12">
        <v>0</v>
      </c>
    </row>
    <row r="9" spans="2:9" ht="15" customHeight="1" x14ac:dyDescent="0.2">
      <c r="B9" t="s">
        <v>79</v>
      </c>
      <c r="C9" s="12">
        <v>24</v>
      </c>
      <c r="D9" s="8">
        <v>0.69</v>
      </c>
      <c r="E9" s="12">
        <v>2</v>
      </c>
      <c r="F9" s="8">
        <v>0.11</v>
      </c>
      <c r="G9" s="12">
        <v>22</v>
      </c>
      <c r="H9" s="8">
        <v>1.37</v>
      </c>
      <c r="I9" s="12">
        <v>0</v>
      </c>
    </row>
    <row r="10" spans="2:9" ht="15" customHeight="1" x14ac:dyDescent="0.2">
      <c r="B10" t="s">
        <v>80</v>
      </c>
      <c r="C10" s="12">
        <v>39</v>
      </c>
      <c r="D10" s="8">
        <v>1.1200000000000001</v>
      </c>
      <c r="E10" s="12">
        <v>17</v>
      </c>
      <c r="F10" s="8">
        <v>0.91</v>
      </c>
      <c r="G10" s="12">
        <v>22</v>
      </c>
      <c r="H10" s="8">
        <v>1.37</v>
      </c>
      <c r="I10" s="12">
        <v>0</v>
      </c>
    </row>
    <row r="11" spans="2:9" ht="15" customHeight="1" x14ac:dyDescent="0.2">
      <c r="B11" t="s">
        <v>81</v>
      </c>
      <c r="C11" s="12">
        <v>831</v>
      </c>
      <c r="D11" s="8">
        <v>23.86</v>
      </c>
      <c r="E11" s="12">
        <v>454</v>
      </c>
      <c r="F11" s="8">
        <v>24.3</v>
      </c>
      <c r="G11" s="12">
        <v>377</v>
      </c>
      <c r="H11" s="8">
        <v>23.52</v>
      </c>
      <c r="I11" s="12">
        <v>0</v>
      </c>
    </row>
    <row r="12" spans="2:9" ht="15" customHeight="1" x14ac:dyDescent="0.2">
      <c r="B12" t="s">
        <v>82</v>
      </c>
      <c r="C12" s="12">
        <v>13</v>
      </c>
      <c r="D12" s="8">
        <v>0.37</v>
      </c>
      <c r="E12" s="12">
        <v>2</v>
      </c>
      <c r="F12" s="8">
        <v>0.11</v>
      </c>
      <c r="G12" s="12">
        <v>11</v>
      </c>
      <c r="H12" s="8">
        <v>0.69</v>
      </c>
      <c r="I12" s="12">
        <v>0</v>
      </c>
    </row>
    <row r="13" spans="2:9" ht="15" customHeight="1" x14ac:dyDescent="0.2">
      <c r="B13" t="s">
        <v>83</v>
      </c>
      <c r="C13" s="12">
        <v>493</v>
      </c>
      <c r="D13" s="8">
        <v>14.15</v>
      </c>
      <c r="E13" s="12">
        <v>165</v>
      </c>
      <c r="F13" s="8">
        <v>8.83</v>
      </c>
      <c r="G13" s="12">
        <v>328</v>
      </c>
      <c r="H13" s="8">
        <v>20.46</v>
      </c>
      <c r="I13" s="12">
        <v>0</v>
      </c>
    </row>
    <row r="14" spans="2:9" ht="15" customHeight="1" x14ac:dyDescent="0.2">
      <c r="B14" t="s">
        <v>84</v>
      </c>
      <c r="C14" s="12">
        <v>107</v>
      </c>
      <c r="D14" s="8">
        <v>3.07</v>
      </c>
      <c r="E14" s="12">
        <v>59</v>
      </c>
      <c r="F14" s="8">
        <v>3.16</v>
      </c>
      <c r="G14" s="12">
        <v>48</v>
      </c>
      <c r="H14" s="8">
        <v>2.99</v>
      </c>
      <c r="I14" s="12">
        <v>0</v>
      </c>
    </row>
    <row r="15" spans="2:9" ht="15" customHeight="1" x14ac:dyDescent="0.2">
      <c r="B15" t="s">
        <v>85</v>
      </c>
      <c r="C15" s="12">
        <v>433</v>
      </c>
      <c r="D15" s="8">
        <v>12.43</v>
      </c>
      <c r="E15" s="12">
        <v>398</v>
      </c>
      <c r="F15" s="8">
        <v>21.31</v>
      </c>
      <c r="G15" s="12">
        <v>34</v>
      </c>
      <c r="H15" s="8">
        <v>2.12</v>
      </c>
      <c r="I15" s="12">
        <v>1</v>
      </c>
    </row>
    <row r="16" spans="2:9" ht="15" customHeight="1" x14ac:dyDescent="0.2">
      <c r="B16" t="s">
        <v>86</v>
      </c>
      <c r="C16" s="12">
        <v>300</v>
      </c>
      <c r="D16" s="8">
        <v>8.61</v>
      </c>
      <c r="E16" s="12">
        <v>251</v>
      </c>
      <c r="F16" s="8">
        <v>13.44</v>
      </c>
      <c r="G16" s="12">
        <v>49</v>
      </c>
      <c r="H16" s="8">
        <v>3.06</v>
      </c>
      <c r="I16" s="12">
        <v>0</v>
      </c>
    </row>
    <row r="17" spans="2:9" ht="15" customHeight="1" x14ac:dyDescent="0.2">
      <c r="B17" t="s">
        <v>87</v>
      </c>
      <c r="C17" s="12">
        <v>97</v>
      </c>
      <c r="D17" s="8">
        <v>2.78</v>
      </c>
      <c r="E17" s="12">
        <v>77</v>
      </c>
      <c r="F17" s="8">
        <v>4.12</v>
      </c>
      <c r="G17" s="12">
        <v>18</v>
      </c>
      <c r="H17" s="8">
        <v>1.1200000000000001</v>
      </c>
      <c r="I17" s="12">
        <v>1</v>
      </c>
    </row>
    <row r="18" spans="2:9" ht="15" customHeight="1" x14ac:dyDescent="0.2">
      <c r="B18" t="s">
        <v>88</v>
      </c>
      <c r="C18" s="12">
        <v>213</v>
      </c>
      <c r="D18" s="8">
        <v>6.12</v>
      </c>
      <c r="E18" s="12">
        <v>131</v>
      </c>
      <c r="F18" s="8">
        <v>7.01</v>
      </c>
      <c r="G18" s="12">
        <v>79</v>
      </c>
      <c r="H18" s="8">
        <v>4.93</v>
      </c>
      <c r="I18" s="12">
        <v>3</v>
      </c>
    </row>
    <row r="19" spans="2:9" ht="15" customHeight="1" x14ac:dyDescent="0.2">
      <c r="B19" t="s">
        <v>89</v>
      </c>
      <c r="C19" s="12">
        <v>73</v>
      </c>
      <c r="D19" s="8">
        <v>2.1</v>
      </c>
      <c r="E19" s="12">
        <v>28</v>
      </c>
      <c r="F19" s="8">
        <v>1.5</v>
      </c>
      <c r="G19" s="12">
        <v>42</v>
      </c>
      <c r="H19" s="8">
        <v>2.62</v>
      </c>
      <c r="I19" s="12">
        <v>3</v>
      </c>
    </row>
    <row r="20" spans="2:9" ht="15" customHeight="1" x14ac:dyDescent="0.2">
      <c r="B20" s="9" t="s">
        <v>271</v>
      </c>
      <c r="C20" s="12">
        <f>SUM(LTBL_27121[総数／事業所数])</f>
        <v>3483</v>
      </c>
      <c r="E20" s="12">
        <f>SUBTOTAL(109,LTBL_27121[個人／事業所数])</f>
        <v>1868</v>
      </c>
      <c r="G20" s="12">
        <f>SUBTOTAL(109,LTBL_27121[法人／事業所数])</f>
        <v>1603</v>
      </c>
      <c r="I20" s="12">
        <f>SUBTOTAL(109,LTBL_27121[法人以外の団体／事業所数])</f>
        <v>11</v>
      </c>
    </row>
    <row r="21" spans="2:9" ht="15" customHeight="1" x14ac:dyDescent="0.2">
      <c r="E21" s="11">
        <f>LTBL_27121[[#Totals],[個人／事業所数]]/LTBL_27121[[#Totals],[総数／事業所数]]</f>
        <v>0.53631926500143556</v>
      </c>
      <c r="G21" s="11">
        <f>LTBL_27121[[#Totals],[法人／事業所数]]/LTBL_27121[[#Totals],[総数／事業所数]]</f>
        <v>0.4602354292276773</v>
      </c>
      <c r="I21" s="11">
        <f>LTBL_27121[[#Totals],[法人以外の団体／事業所数]]/LTBL_27121[[#Totals],[総数／事業所数]]</f>
        <v>3.1581969566465691E-3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110</v>
      </c>
      <c r="C24" s="12">
        <v>404</v>
      </c>
      <c r="D24" s="8">
        <v>11.6</v>
      </c>
      <c r="E24" s="12">
        <v>146</v>
      </c>
      <c r="F24" s="8">
        <v>7.82</v>
      </c>
      <c r="G24" s="12">
        <v>258</v>
      </c>
      <c r="H24" s="8">
        <v>16.09</v>
      </c>
      <c r="I24" s="12">
        <v>0</v>
      </c>
    </row>
    <row r="25" spans="2:9" ht="15" customHeight="1" x14ac:dyDescent="0.2">
      <c r="B25" t="s">
        <v>113</v>
      </c>
      <c r="C25" s="12">
        <v>402</v>
      </c>
      <c r="D25" s="8">
        <v>11.54</v>
      </c>
      <c r="E25" s="12">
        <v>386</v>
      </c>
      <c r="F25" s="8">
        <v>20.66</v>
      </c>
      <c r="G25" s="12">
        <v>15</v>
      </c>
      <c r="H25" s="8">
        <v>0.94</v>
      </c>
      <c r="I25" s="12">
        <v>1</v>
      </c>
    </row>
    <row r="26" spans="2:9" ht="15" customHeight="1" x14ac:dyDescent="0.2">
      <c r="B26" t="s">
        <v>114</v>
      </c>
      <c r="C26" s="12">
        <v>259</v>
      </c>
      <c r="D26" s="8">
        <v>7.44</v>
      </c>
      <c r="E26" s="12">
        <v>232</v>
      </c>
      <c r="F26" s="8">
        <v>12.42</v>
      </c>
      <c r="G26" s="12">
        <v>27</v>
      </c>
      <c r="H26" s="8">
        <v>1.68</v>
      </c>
      <c r="I26" s="12">
        <v>0</v>
      </c>
    </row>
    <row r="27" spans="2:9" ht="15" customHeight="1" x14ac:dyDescent="0.2">
      <c r="B27" t="s">
        <v>108</v>
      </c>
      <c r="C27" s="12">
        <v>179</v>
      </c>
      <c r="D27" s="8">
        <v>5.14</v>
      </c>
      <c r="E27" s="12">
        <v>119</v>
      </c>
      <c r="F27" s="8">
        <v>6.37</v>
      </c>
      <c r="G27" s="12">
        <v>60</v>
      </c>
      <c r="H27" s="8">
        <v>3.74</v>
      </c>
      <c r="I27" s="12">
        <v>0</v>
      </c>
    </row>
    <row r="28" spans="2:9" ht="15" customHeight="1" x14ac:dyDescent="0.2">
      <c r="B28" t="s">
        <v>106</v>
      </c>
      <c r="C28" s="12">
        <v>160</v>
      </c>
      <c r="D28" s="8">
        <v>4.59</v>
      </c>
      <c r="E28" s="12">
        <v>128</v>
      </c>
      <c r="F28" s="8">
        <v>6.85</v>
      </c>
      <c r="G28" s="12">
        <v>32</v>
      </c>
      <c r="H28" s="8">
        <v>2</v>
      </c>
      <c r="I28" s="12">
        <v>0</v>
      </c>
    </row>
    <row r="29" spans="2:9" ht="15" customHeight="1" x14ac:dyDescent="0.2">
      <c r="B29" t="s">
        <v>116</v>
      </c>
      <c r="C29" s="12">
        <v>157</v>
      </c>
      <c r="D29" s="8">
        <v>4.51</v>
      </c>
      <c r="E29" s="12">
        <v>131</v>
      </c>
      <c r="F29" s="8">
        <v>7.01</v>
      </c>
      <c r="G29" s="12">
        <v>26</v>
      </c>
      <c r="H29" s="8">
        <v>1.62</v>
      </c>
      <c r="I29" s="12">
        <v>0</v>
      </c>
    </row>
    <row r="30" spans="2:9" ht="15" customHeight="1" x14ac:dyDescent="0.2">
      <c r="B30" t="s">
        <v>98</v>
      </c>
      <c r="C30" s="12">
        <v>150</v>
      </c>
      <c r="D30" s="8">
        <v>4.3099999999999996</v>
      </c>
      <c r="E30" s="12">
        <v>37</v>
      </c>
      <c r="F30" s="8">
        <v>1.98</v>
      </c>
      <c r="G30" s="12">
        <v>113</v>
      </c>
      <c r="H30" s="8">
        <v>7.05</v>
      </c>
      <c r="I30" s="12">
        <v>0</v>
      </c>
    </row>
    <row r="31" spans="2:9" ht="15" customHeight="1" x14ac:dyDescent="0.2">
      <c r="B31" t="s">
        <v>99</v>
      </c>
      <c r="C31" s="12">
        <v>119</v>
      </c>
      <c r="D31" s="8">
        <v>3.42</v>
      </c>
      <c r="E31" s="12">
        <v>32</v>
      </c>
      <c r="F31" s="8">
        <v>1.71</v>
      </c>
      <c r="G31" s="12">
        <v>87</v>
      </c>
      <c r="H31" s="8">
        <v>5.43</v>
      </c>
      <c r="I31" s="12">
        <v>0</v>
      </c>
    </row>
    <row r="32" spans="2:9" ht="15" customHeight="1" x14ac:dyDescent="0.2">
      <c r="B32" t="s">
        <v>100</v>
      </c>
      <c r="C32" s="12">
        <v>119</v>
      </c>
      <c r="D32" s="8">
        <v>3.42</v>
      </c>
      <c r="E32" s="12">
        <v>21</v>
      </c>
      <c r="F32" s="8">
        <v>1.1200000000000001</v>
      </c>
      <c r="G32" s="12">
        <v>98</v>
      </c>
      <c r="H32" s="8">
        <v>6.11</v>
      </c>
      <c r="I32" s="12">
        <v>0</v>
      </c>
    </row>
    <row r="33" spans="2:9" ht="15" customHeight="1" x14ac:dyDescent="0.2">
      <c r="B33" t="s">
        <v>115</v>
      </c>
      <c r="C33" s="12">
        <v>97</v>
      </c>
      <c r="D33" s="8">
        <v>2.78</v>
      </c>
      <c r="E33" s="12">
        <v>77</v>
      </c>
      <c r="F33" s="8">
        <v>4.12</v>
      </c>
      <c r="G33" s="12">
        <v>18</v>
      </c>
      <c r="H33" s="8">
        <v>1.1200000000000001</v>
      </c>
      <c r="I33" s="12">
        <v>1</v>
      </c>
    </row>
    <row r="34" spans="2:9" ht="15" customHeight="1" x14ac:dyDescent="0.2">
      <c r="B34" t="s">
        <v>105</v>
      </c>
      <c r="C34" s="12">
        <v>95</v>
      </c>
      <c r="D34" s="8">
        <v>2.73</v>
      </c>
      <c r="E34" s="12">
        <v>74</v>
      </c>
      <c r="F34" s="8">
        <v>3.96</v>
      </c>
      <c r="G34" s="12">
        <v>21</v>
      </c>
      <c r="H34" s="8">
        <v>1.31</v>
      </c>
      <c r="I34" s="12">
        <v>0</v>
      </c>
    </row>
    <row r="35" spans="2:9" ht="15" customHeight="1" x14ac:dyDescent="0.2">
      <c r="B35" t="s">
        <v>107</v>
      </c>
      <c r="C35" s="12">
        <v>89</v>
      </c>
      <c r="D35" s="8">
        <v>2.56</v>
      </c>
      <c r="E35" s="12">
        <v>52</v>
      </c>
      <c r="F35" s="8">
        <v>2.78</v>
      </c>
      <c r="G35" s="12">
        <v>37</v>
      </c>
      <c r="H35" s="8">
        <v>2.31</v>
      </c>
      <c r="I35" s="12">
        <v>0</v>
      </c>
    </row>
    <row r="36" spans="2:9" ht="15" customHeight="1" x14ac:dyDescent="0.2">
      <c r="B36" t="s">
        <v>121</v>
      </c>
      <c r="C36" s="12">
        <v>80</v>
      </c>
      <c r="D36" s="8">
        <v>2.2999999999999998</v>
      </c>
      <c r="E36" s="12">
        <v>33</v>
      </c>
      <c r="F36" s="8">
        <v>1.77</v>
      </c>
      <c r="G36" s="12">
        <v>46</v>
      </c>
      <c r="H36" s="8">
        <v>2.87</v>
      </c>
      <c r="I36" s="12">
        <v>1</v>
      </c>
    </row>
    <row r="37" spans="2:9" ht="15" customHeight="1" x14ac:dyDescent="0.2">
      <c r="B37" t="s">
        <v>104</v>
      </c>
      <c r="C37" s="12">
        <v>80</v>
      </c>
      <c r="D37" s="8">
        <v>2.2999999999999998</v>
      </c>
      <c r="E37" s="12">
        <v>23</v>
      </c>
      <c r="F37" s="8">
        <v>1.23</v>
      </c>
      <c r="G37" s="12">
        <v>57</v>
      </c>
      <c r="H37" s="8">
        <v>3.56</v>
      </c>
      <c r="I37" s="12">
        <v>0</v>
      </c>
    </row>
    <row r="38" spans="2:9" ht="15" customHeight="1" x14ac:dyDescent="0.2">
      <c r="B38" t="s">
        <v>109</v>
      </c>
      <c r="C38" s="12">
        <v>79</v>
      </c>
      <c r="D38" s="8">
        <v>2.27</v>
      </c>
      <c r="E38" s="12">
        <v>19</v>
      </c>
      <c r="F38" s="8">
        <v>1.02</v>
      </c>
      <c r="G38" s="12">
        <v>60</v>
      </c>
      <c r="H38" s="8">
        <v>3.74</v>
      </c>
      <c r="I38" s="12">
        <v>0</v>
      </c>
    </row>
    <row r="39" spans="2:9" ht="15" customHeight="1" x14ac:dyDescent="0.2">
      <c r="B39" t="s">
        <v>111</v>
      </c>
      <c r="C39" s="12">
        <v>71</v>
      </c>
      <c r="D39" s="8">
        <v>2.04</v>
      </c>
      <c r="E39" s="12">
        <v>42</v>
      </c>
      <c r="F39" s="8">
        <v>2.25</v>
      </c>
      <c r="G39" s="12">
        <v>29</v>
      </c>
      <c r="H39" s="8">
        <v>1.81</v>
      </c>
      <c r="I39" s="12">
        <v>0</v>
      </c>
    </row>
    <row r="40" spans="2:9" ht="15" customHeight="1" x14ac:dyDescent="0.2">
      <c r="B40" t="s">
        <v>122</v>
      </c>
      <c r="C40" s="12">
        <v>58</v>
      </c>
      <c r="D40" s="8">
        <v>1.67</v>
      </c>
      <c r="E40" s="12">
        <v>10</v>
      </c>
      <c r="F40" s="8">
        <v>0.54</v>
      </c>
      <c r="G40" s="12">
        <v>48</v>
      </c>
      <c r="H40" s="8">
        <v>2.99</v>
      </c>
      <c r="I40" s="12">
        <v>0</v>
      </c>
    </row>
    <row r="41" spans="2:9" ht="15" customHeight="1" x14ac:dyDescent="0.2">
      <c r="B41" t="s">
        <v>117</v>
      </c>
      <c r="C41" s="12">
        <v>56</v>
      </c>
      <c r="D41" s="8">
        <v>1.61</v>
      </c>
      <c r="E41" s="12">
        <v>0</v>
      </c>
      <c r="F41" s="8">
        <v>0</v>
      </c>
      <c r="G41" s="12">
        <v>53</v>
      </c>
      <c r="H41" s="8">
        <v>3.31</v>
      </c>
      <c r="I41" s="12">
        <v>3</v>
      </c>
    </row>
    <row r="42" spans="2:9" ht="15" customHeight="1" x14ac:dyDescent="0.2">
      <c r="B42" t="s">
        <v>101</v>
      </c>
      <c r="C42" s="12">
        <v>55</v>
      </c>
      <c r="D42" s="8">
        <v>1.58</v>
      </c>
      <c r="E42" s="12">
        <v>29</v>
      </c>
      <c r="F42" s="8">
        <v>1.55</v>
      </c>
      <c r="G42" s="12">
        <v>26</v>
      </c>
      <c r="H42" s="8">
        <v>1.62</v>
      </c>
      <c r="I42" s="12">
        <v>0</v>
      </c>
    </row>
    <row r="43" spans="2:9" ht="15" customHeight="1" x14ac:dyDescent="0.2">
      <c r="B43" t="s">
        <v>120</v>
      </c>
      <c r="C43" s="12">
        <v>54</v>
      </c>
      <c r="D43" s="8">
        <v>1.55</v>
      </c>
      <c r="E43" s="12">
        <v>33</v>
      </c>
      <c r="F43" s="8">
        <v>1.77</v>
      </c>
      <c r="G43" s="12">
        <v>21</v>
      </c>
      <c r="H43" s="8">
        <v>1.31</v>
      </c>
      <c r="I43" s="12">
        <v>0</v>
      </c>
    </row>
    <row r="44" spans="2:9" ht="15" customHeight="1" x14ac:dyDescent="0.2">
      <c r="B44" t="s">
        <v>102</v>
      </c>
      <c r="C44" s="12">
        <v>54</v>
      </c>
      <c r="D44" s="8">
        <v>1.55</v>
      </c>
      <c r="E44" s="12">
        <v>17</v>
      </c>
      <c r="F44" s="8">
        <v>0.91</v>
      </c>
      <c r="G44" s="12">
        <v>37</v>
      </c>
      <c r="H44" s="8">
        <v>2.31</v>
      </c>
      <c r="I44" s="12">
        <v>0</v>
      </c>
    </row>
    <row r="47" spans="2:9" ht="33" customHeight="1" x14ac:dyDescent="0.2">
      <c r="B47" t="s">
        <v>273</v>
      </c>
      <c r="C47" s="10" t="s">
        <v>91</v>
      </c>
      <c r="D47" s="10" t="s">
        <v>92</v>
      </c>
      <c r="E47" s="10" t="s">
        <v>93</v>
      </c>
      <c r="F47" s="10" t="s">
        <v>94</v>
      </c>
      <c r="G47" s="10" t="s">
        <v>95</v>
      </c>
      <c r="H47" s="10" t="s">
        <v>96</v>
      </c>
      <c r="I47" s="10" t="s">
        <v>97</v>
      </c>
    </row>
    <row r="48" spans="2:9" ht="15" customHeight="1" x14ac:dyDescent="0.2">
      <c r="B48" t="s">
        <v>160</v>
      </c>
      <c r="C48" s="12">
        <v>203</v>
      </c>
      <c r="D48" s="8">
        <v>5.83</v>
      </c>
      <c r="E48" s="12">
        <v>78</v>
      </c>
      <c r="F48" s="8">
        <v>4.18</v>
      </c>
      <c r="G48" s="12">
        <v>125</v>
      </c>
      <c r="H48" s="8">
        <v>7.8</v>
      </c>
      <c r="I48" s="12">
        <v>0</v>
      </c>
    </row>
    <row r="49" spans="2:9" ht="15" customHeight="1" x14ac:dyDescent="0.2">
      <c r="B49" t="s">
        <v>167</v>
      </c>
      <c r="C49" s="12">
        <v>128</v>
      </c>
      <c r="D49" s="8">
        <v>3.67</v>
      </c>
      <c r="E49" s="12">
        <v>126</v>
      </c>
      <c r="F49" s="8">
        <v>6.75</v>
      </c>
      <c r="G49" s="12">
        <v>1</v>
      </c>
      <c r="H49" s="8">
        <v>0.06</v>
      </c>
      <c r="I49" s="12">
        <v>1</v>
      </c>
    </row>
    <row r="50" spans="2:9" ht="15" customHeight="1" x14ac:dyDescent="0.2">
      <c r="B50" t="s">
        <v>171</v>
      </c>
      <c r="C50" s="12">
        <v>119</v>
      </c>
      <c r="D50" s="8">
        <v>3.42</v>
      </c>
      <c r="E50" s="12">
        <v>98</v>
      </c>
      <c r="F50" s="8">
        <v>5.25</v>
      </c>
      <c r="G50" s="12">
        <v>21</v>
      </c>
      <c r="H50" s="8">
        <v>1.31</v>
      </c>
      <c r="I50" s="12">
        <v>0</v>
      </c>
    </row>
    <row r="51" spans="2:9" ht="15" customHeight="1" x14ac:dyDescent="0.2">
      <c r="B51" t="s">
        <v>169</v>
      </c>
      <c r="C51" s="12">
        <v>115</v>
      </c>
      <c r="D51" s="8">
        <v>3.3</v>
      </c>
      <c r="E51" s="12">
        <v>105</v>
      </c>
      <c r="F51" s="8">
        <v>5.62</v>
      </c>
      <c r="G51" s="12">
        <v>10</v>
      </c>
      <c r="H51" s="8">
        <v>0.62</v>
      </c>
      <c r="I51" s="12">
        <v>0</v>
      </c>
    </row>
    <row r="52" spans="2:9" ht="15" customHeight="1" x14ac:dyDescent="0.2">
      <c r="B52" t="s">
        <v>165</v>
      </c>
      <c r="C52" s="12">
        <v>81</v>
      </c>
      <c r="D52" s="8">
        <v>2.33</v>
      </c>
      <c r="E52" s="12">
        <v>80</v>
      </c>
      <c r="F52" s="8">
        <v>4.28</v>
      </c>
      <c r="G52" s="12">
        <v>1</v>
      </c>
      <c r="H52" s="8">
        <v>0.06</v>
      </c>
      <c r="I52" s="12">
        <v>0</v>
      </c>
    </row>
    <row r="53" spans="2:9" ht="15" customHeight="1" x14ac:dyDescent="0.2">
      <c r="B53" t="s">
        <v>159</v>
      </c>
      <c r="C53" s="12">
        <v>71</v>
      </c>
      <c r="D53" s="8">
        <v>2.04</v>
      </c>
      <c r="E53" s="12">
        <v>12</v>
      </c>
      <c r="F53" s="8">
        <v>0.64</v>
      </c>
      <c r="G53" s="12">
        <v>59</v>
      </c>
      <c r="H53" s="8">
        <v>3.68</v>
      </c>
      <c r="I53" s="12">
        <v>0</v>
      </c>
    </row>
    <row r="54" spans="2:9" ht="15" customHeight="1" x14ac:dyDescent="0.2">
      <c r="B54" t="s">
        <v>164</v>
      </c>
      <c r="C54" s="12">
        <v>70</v>
      </c>
      <c r="D54" s="8">
        <v>2.0099999999999998</v>
      </c>
      <c r="E54" s="12">
        <v>68</v>
      </c>
      <c r="F54" s="8">
        <v>3.64</v>
      </c>
      <c r="G54" s="12">
        <v>2</v>
      </c>
      <c r="H54" s="8">
        <v>0.12</v>
      </c>
      <c r="I54" s="12">
        <v>0</v>
      </c>
    </row>
    <row r="55" spans="2:9" ht="15" customHeight="1" x14ac:dyDescent="0.2">
      <c r="B55" t="s">
        <v>161</v>
      </c>
      <c r="C55" s="12">
        <v>68</v>
      </c>
      <c r="D55" s="8">
        <v>1.95</v>
      </c>
      <c r="E55" s="12">
        <v>51</v>
      </c>
      <c r="F55" s="8">
        <v>2.73</v>
      </c>
      <c r="G55" s="12">
        <v>17</v>
      </c>
      <c r="H55" s="8">
        <v>1.06</v>
      </c>
      <c r="I55" s="12">
        <v>0</v>
      </c>
    </row>
    <row r="56" spans="2:9" ht="15" customHeight="1" x14ac:dyDescent="0.2">
      <c r="B56" t="s">
        <v>168</v>
      </c>
      <c r="C56" s="12">
        <v>66</v>
      </c>
      <c r="D56" s="8">
        <v>1.89</v>
      </c>
      <c r="E56" s="12">
        <v>64</v>
      </c>
      <c r="F56" s="8">
        <v>3.43</v>
      </c>
      <c r="G56" s="12">
        <v>2</v>
      </c>
      <c r="H56" s="8">
        <v>0.12</v>
      </c>
      <c r="I56" s="12">
        <v>0</v>
      </c>
    </row>
    <row r="57" spans="2:9" ht="15" customHeight="1" x14ac:dyDescent="0.2">
      <c r="B57" t="s">
        <v>175</v>
      </c>
      <c r="C57" s="12">
        <v>65</v>
      </c>
      <c r="D57" s="8">
        <v>1.87</v>
      </c>
      <c r="E57" s="12">
        <v>27</v>
      </c>
      <c r="F57" s="8">
        <v>1.45</v>
      </c>
      <c r="G57" s="12">
        <v>37</v>
      </c>
      <c r="H57" s="8">
        <v>2.31</v>
      </c>
      <c r="I57" s="12">
        <v>1</v>
      </c>
    </row>
    <row r="58" spans="2:9" ht="15" customHeight="1" x14ac:dyDescent="0.2">
      <c r="B58" t="s">
        <v>157</v>
      </c>
      <c r="C58" s="12">
        <v>64</v>
      </c>
      <c r="D58" s="8">
        <v>1.84</v>
      </c>
      <c r="E58" s="12">
        <v>48</v>
      </c>
      <c r="F58" s="8">
        <v>2.57</v>
      </c>
      <c r="G58" s="12">
        <v>16</v>
      </c>
      <c r="H58" s="8">
        <v>1</v>
      </c>
      <c r="I58" s="12">
        <v>0</v>
      </c>
    </row>
    <row r="59" spans="2:9" ht="15" customHeight="1" x14ac:dyDescent="0.2">
      <c r="B59" t="s">
        <v>162</v>
      </c>
      <c r="C59" s="12">
        <v>62</v>
      </c>
      <c r="D59" s="8">
        <v>1.78</v>
      </c>
      <c r="E59" s="12">
        <v>5</v>
      </c>
      <c r="F59" s="8">
        <v>0.27</v>
      </c>
      <c r="G59" s="12">
        <v>57</v>
      </c>
      <c r="H59" s="8">
        <v>3.56</v>
      </c>
      <c r="I59" s="12">
        <v>0</v>
      </c>
    </row>
    <row r="60" spans="2:9" ht="15" customHeight="1" x14ac:dyDescent="0.2">
      <c r="B60" t="s">
        <v>170</v>
      </c>
      <c r="C60" s="12">
        <v>62</v>
      </c>
      <c r="D60" s="8">
        <v>1.78</v>
      </c>
      <c r="E60" s="12">
        <v>53</v>
      </c>
      <c r="F60" s="8">
        <v>2.84</v>
      </c>
      <c r="G60" s="12">
        <v>8</v>
      </c>
      <c r="H60" s="8">
        <v>0.5</v>
      </c>
      <c r="I60" s="12">
        <v>1</v>
      </c>
    </row>
    <row r="61" spans="2:9" ht="15" customHeight="1" x14ac:dyDescent="0.2">
      <c r="B61" t="s">
        <v>152</v>
      </c>
      <c r="C61" s="12">
        <v>56</v>
      </c>
      <c r="D61" s="8">
        <v>1.61</v>
      </c>
      <c r="E61" s="12">
        <v>9</v>
      </c>
      <c r="F61" s="8">
        <v>0.48</v>
      </c>
      <c r="G61" s="12">
        <v>47</v>
      </c>
      <c r="H61" s="8">
        <v>2.93</v>
      </c>
      <c r="I61" s="12">
        <v>0</v>
      </c>
    </row>
    <row r="62" spans="2:9" ht="15" customHeight="1" x14ac:dyDescent="0.2">
      <c r="B62" t="s">
        <v>155</v>
      </c>
      <c r="C62" s="12">
        <v>51</v>
      </c>
      <c r="D62" s="8">
        <v>1.46</v>
      </c>
      <c r="E62" s="12">
        <v>40</v>
      </c>
      <c r="F62" s="8">
        <v>2.14</v>
      </c>
      <c r="G62" s="12">
        <v>11</v>
      </c>
      <c r="H62" s="8">
        <v>0.69</v>
      </c>
      <c r="I62" s="12">
        <v>0</v>
      </c>
    </row>
    <row r="63" spans="2:9" ht="15" customHeight="1" x14ac:dyDescent="0.2">
      <c r="B63" t="s">
        <v>158</v>
      </c>
      <c r="C63" s="12">
        <v>50</v>
      </c>
      <c r="D63" s="8">
        <v>1.44</v>
      </c>
      <c r="E63" s="12">
        <v>13</v>
      </c>
      <c r="F63" s="8">
        <v>0.7</v>
      </c>
      <c r="G63" s="12">
        <v>37</v>
      </c>
      <c r="H63" s="8">
        <v>2.31</v>
      </c>
      <c r="I63" s="12">
        <v>0</v>
      </c>
    </row>
    <row r="64" spans="2:9" ht="15" customHeight="1" x14ac:dyDescent="0.2">
      <c r="B64" t="s">
        <v>196</v>
      </c>
      <c r="C64" s="12">
        <v>49</v>
      </c>
      <c r="D64" s="8">
        <v>1.41</v>
      </c>
      <c r="E64" s="12">
        <v>41</v>
      </c>
      <c r="F64" s="8">
        <v>2.19</v>
      </c>
      <c r="G64" s="12">
        <v>8</v>
      </c>
      <c r="H64" s="8">
        <v>0.5</v>
      </c>
      <c r="I64" s="12">
        <v>0</v>
      </c>
    </row>
    <row r="65" spans="2:9" ht="15" customHeight="1" x14ac:dyDescent="0.2">
      <c r="B65" t="s">
        <v>210</v>
      </c>
      <c r="C65" s="12">
        <v>48</v>
      </c>
      <c r="D65" s="8">
        <v>1.38</v>
      </c>
      <c r="E65" s="12">
        <v>17</v>
      </c>
      <c r="F65" s="8">
        <v>0.91</v>
      </c>
      <c r="G65" s="12">
        <v>31</v>
      </c>
      <c r="H65" s="8">
        <v>1.93</v>
      </c>
      <c r="I65" s="12">
        <v>0</v>
      </c>
    </row>
    <row r="66" spans="2:9" ht="15" customHeight="1" x14ac:dyDescent="0.2">
      <c r="B66" t="s">
        <v>154</v>
      </c>
      <c r="C66" s="12">
        <v>48</v>
      </c>
      <c r="D66" s="8">
        <v>1.38</v>
      </c>
      <c r="E66" s="12">
        <v>13</v>
      </c>
      <c r="F66" s="8">
        <v>0.7</v>
      </c>
      <c r="G66" s="12">
        <v>35</v>
      </c>
      <c r="H66" s="8">
        <v>2.1800000000000002</v>
      </c>
      <c r="I66" s="12">
        <v>0</v>
      </c>
    </row>
    <row r="67" spans="2:9" ht="15" customHeight="1" x14ac:dyDescent="0.2">
      <c r="B67" t="s">
        <v>156</v>
      </c>
      <c r="C67" s="12">
        <v>47</v>
      </c>
      <c r="D67" s="8">
        <v>1.35</v>
      </c>
      <c r="E67" s="12">
        <v>39</v>
      </c>
      <c r="F67" s="8">
        <v>2.09</v>
      </c>
      <c r="G67" s="12">
        <v>8</v>
      </c>
      <c r="H67" s="8">
        <v>0.5</v>
      </c>
      <c r="I67" s="12">
        <v>0</v>
      </c>
    </row>
    <row r="69" spans="2:9" ht="15" customHeight="1" x14ac:dyDescent="0.2">
      <c r="B69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6CC96-E75B-4689-8C97-82344BE793A3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293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195</v>
      </c>
      <c r="D6" s="8">
        <v>7.42</v>
      </c>
      <c r="E6" s="12">
        <v>48</v>
      </c>
      <c r="F6" s="8">
        <v>3.11</v>
      </c>
      <c r="G6" s="12">
        <v>147</v>
      </c>
      <c r="H6" s="8">
        <v>13.64</v>
      </c>
      <c r="I6" s="12">
        <v>0</v>
      </c>
    </row>
    <row r="7" spans="2:9" ht="15" customHeight="1" x14ac:dyDescent="0.2">
      <c r="B7" t="s">
        <v>77</v>
      </c>
      <c r="C7" s="12">
        <v>355</v>
      </c>
      <c r="D7" s="8">
        <v>13.51</v>
      </c>
      <c r="E7" s="12">
        <v>137</v>
      </c>
      <c r="F7" s="8">
        <v>8.8699999999999992</v>
      </c>
      <c r="G7" s="12">
        <v>218</v>
      </c>
      <c r="H7" s="8">
        <v>20.22</v>
      </c>
      <c r="I7" s="12">
        <v>0</v>
      </c>
    </row>
    <row r="8" spans="2:9" ht="15" customHeight="1" x14ac:dyDescent="0.2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79</v>
      </c>
      <c r="C9" s="12">
        <v>6</v>
      </c>
      <c r="D9" s="8">
        <v>0.23</v>
      </c>
      <c r="E9" s="12">
        <v>1</v>
      </c>
      <c r="F9" s="8">
        <v>0.06</v>
      </c>
      <c r="G9" s="12">
        <v>5</v>
      </c>
      <c r="H9" s="8">
        <v>0.46</v>
      </c>
      <c r="I9" s="12">
        <v>0</v>
      </c>
    </row>
    <row r="10" spans="2:9" ht="15" customHeight="1" x14ac:dyDescent="0.2">
      <c r="B10" t="s">
        <v>80</v>
      </c>
      <c r="C10" s="12">
        <v>19</v>
      </c>
      <c r="D10" s="8">
        <v>0.72</v>
      </c>
      <c r="E10" s="12">
        <v>4</v>
      </c>
      <c r="F10" s="8">
        <v>0.26</v>
      </c>
      <c r="G10" s="12">
        <v>15</v>
      </c>
      <c r="H10" s="8">
        <v>1.39</v>
      </c>
      <c r="I10" s="12">
        <v>0</v>
      </c>
    </row>
    <row r="11" spans="2:9" ht="15" customHeight="1" x14ac:dyDescent="0.2">
      <c r="B11" t="s">
        <v>81</v>
      </c>
      <c r="C11" s="12">
        <v>656</v>
      </c>
      <c r="D11" s="8">
        <v>24.97</v>
      </c>
      <c r="E11" s="12">
        <v>413</v>
      </c>
      <c r="F11" s="8">
        <v>26.73</v>
      </c>
      <c r="G11" s="12">
        <v>243</v>
      </c>
      <c r="H11" s="8">
        <v>22.54</v>
      </c>
      <c r="I11" s="12">
        <v>0</v>
      </c>
    </row>
    <row r="12" spans="2:9" ht="15" customHeight="1" x14ac:dyDescent="0.2">
      <c r="B12" t="s">
        <v>82</v>
      </c>
      <c r="C12" s="12">
        <v>5</v>
      </c>
      <c r="D12" s="8">
        <v>0.19</v>
      </c>
      <c r="E12" s="12">
        <v>0</v>
      </c>
      <c r="F12" s="8">
        <v>0</v>
      </c>
      <c r="G12" s="12">
        <v>5</v>
      </c>
      <c r="H12" s="8">
        <v>0.46</v>
      </c>
      <c r="I12" s="12">
        <v>0</v>
      </c>
    </row>
    <row r="13" spans="2:9" ht="15" customHeight="1" x14ac:dyDescent="0.2">
      <c r="B13" t="s">
        <v>83</v>
      </c>
      <c r="C13" s="12">
        <v>406</v>
      </c>
      <c r="D13" s="8">
        <v>15.45</v>
      </c>
      <c r="E13" s="12">
        <v>213</v>
      </c>
      <c r="F13" s="8">
        <v>13.79</v>
      </c>
      <c r="G13" s="12">
        <v>193</v>
      </c>
      <c r="H13" s="8">
        <v>17.899999999999999</v>
      </c>
      <c r="I13" s="12">
        <v>0</v>
      </c>
    </row>
    <row r="14" spans="2:9" ht="15" customHeight="1" x14ac:dyDescent="0.2">
      <c r="B14" t="s">
        <v>84</v>
      </c>
      <c r="C14" s="12">
        <v>52</v>
      </c>
      <c r="D14" s="8">
        <v>1.98</v>
      </c>
      <c r="E14" s="12">
        <v>23</v>
      </c>
      <c r="F14" s="8">
        <v>1.49</v>
      </c>
      <c r="G14" s="12">
        <v>28</v>
      </c>
      <c r="H14" s="8">
        <v>2.6</v>
      </c>
      <c r="I14" s="12">
        <v>1</v>
      </c>
    </row>
    <row r="15" spans="2:9" ht="15" customHeight="1" x14ac:dyDescent="0.2">
      <c r="B15" t="s">
        <v>85</v>
      </c>
      <c r="C15" s="12">
        <v>419</v>
      </c>
      <c r="D15" s="8">
        <v>15.95</v>
      </c>
      <c r="E15" s="12">
        <v>354</v>
      </c>
      <c r="F15" s="8">
        <v>22.91</v>
      </c>
      <c r="G15" s="12">
        <v>65</v>
      </c>
      <c r="H15" s="8">
        <v>6.03</v>
      </c>
      <c r="I15" s="12">
        <v>0</v>
      </c>
    </row>
    <row r="16" spans="2:9" ht="15" customHeight="1" x14ac:dyDescent="0.2">
      <c r="B16" t="s">
        <v>86</v>
      </c>
      <c r="C16" s="12">
        <v>261</v>
      </c>
      <c r="D16" s="8">
        <v>9.94</v>
      </c>
      <c r="E16" s="12">
        <v>220</v>
      </c>
      <c r="F16" s="8">
        <v>14.24</v>
      </c>
      <c r="G16" s="12">
        <v>41</v>
      </c>
      <c r="H16" s="8">
        <v>3.8</v>
      </c>
      <c r="I16" s="12">
        <v>0</v>
      </c>
    </row>
    <row r="17" spans="2:9" ht="15" customHeight="1" x14ac:dyDescent="0.2">
      <c r="B17" t="s">
        <v>87</v>
      </c>
      <c r="C17" s="12">
        <v>34</v>
      </c>
      <c r="D17" s="8">
        <v>1.29</v>
      </c>
      <c r="E17" s="12">
        <v>28</v>
      </c>
      <c r="F17" s="8">
        <v>1.81</v>
      </c>
      <c r="G17" s="12">
        <v>5</v>
      </c>
      <c r="H17" s="8">
        <v>0.46</v>
      </c>
      <c r="I17" s="12">
        <v>0</v>
      </c>
    </row>
    <row r="18" spans="2:9" ht="15" customHeight="1" x14ac:dyDescent="0.2">
      <c r="B18" t="s">
        <v>88</v>
      </c>
      <c r="C18" s="12">
        <v>163</v>
      </c>
      <c r="D18" s="8">
        <v>6.2</v>
      </c>
      <c r="E18" s="12">
        <v>85</v>
      </c>
      <c r="F18" s="8">
        <v>5.5</v>
      </c>
      <c r="G18" s="12">
        <v>76</v>
      </c>
      <c r="H18" s="8">
        <v>7.05</v>
      </c>
      <c r="I18" s="12">
        <v>2</v>
      </c>
    </row>
    <row r="19" spans="2:9" ht="15" customHeight="1" x14ac:dyDescent="0.2">
      <c r="B19" t="s">
        <v>89</v>
      </c>
      <c r="C19" s="12">
        <v>56</v>
      </c>
      <c r="D19" s="8">
        <v>2.13</v>
      </c>
      <c r="E19" s="12">
        <v>19</v>
      </c>
      <c r="F19" s="8">
        <v>1.23</v>
      </c>
      <c r="G19" s="12">
        <v>37</v>
      </c>
      <c r="H19" s="8">
        <v>3.43</v>
      </c>
      <c r="I19" s="12">
        <v>0</v>
      </c>
    </row>
    <row r="20" spans="2:9" ht="15" customHeight="1" x14ac:dyDescent="0.2">
      <c r="B20" s="9" t="s">
        <v>271</v>
      </c>
      <c r="C20" s="12">
        <f>SUM(LTBL_27122[総数／事業所数])</f>
        <v>2627</v>
      </c>
      <c r="E20" s="12">
        <f>SUBTOTAL(109,LTBL_27122[個人／事業所数])</f>
        <v>1545</v>
      </c>
      <c r="G20" s="12">
        <f>SUBTOTAL(109,LTBL_27122[法人／事業所数])</f>
        <v>1078</v>
      </c>
      <c r="I20" s="12">
        <f>SUBTOTAL(109,LTBL_27122[法人以外の団体／事業所数])</f>
        <v>3</v>
      </c>
    </row>
    <row r="21" spans="2:9" ht="15" customHeight="1" x14ac:dyDescent="0.2">
      <c r="E21" s="11">
        <f>LTBL_27122[[#Totals],[個人／事業所数]]/LTBL_27122[[#Totals],[総数／事業所数]]</f>
        <v>0.58812333460220789</v>
      </c>
      <c r="G21" s="11">
        <f>LTBL_27122[[#Totals],[法人／事業所数]]/LTBL_27122[[#Totals],[総数／事業所数]]</f>
        <v>0.41035401598781879</v>
      </c>
      <c r="I21" s="11">
        <f>LTBL_27122[[#Totals],[法人以外の団体／事業所数]]/LTBL_27122[[#Totals],[総数／事業所数]]</f>
        <v>1.1419870574800152E-3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113</v>
      </c>
      <c r="C24" s="12">
        <v>358</v>
      </c>
      <c r="D24" s="8">
        <v>13.63</v>
      </c>
      <c r="E24" s="12">
        <v>330</v>
      </c>
      <c r="F24" s="8">
        <v>21.36</v>
      </c>
      <c r="G24" s="12">
        <v>28</v>
      </c>
      <c r="H24" s="8">
        <v>2.6</v>
      </c>
      <c r="I24" s="12">
        <v>0</v>
      </c>
    </row>
    <row r="25" spans="2:9" ht="15" customHeight="1" x14ac:dyDescent="0.2">
      <c r="B25" t="s">
        <v>110</v>
      </c>
      <c r="C25" s="12">
        <v>356</v>
      </c>
      <c r="D25" s="8">
        <v>13.55</v>
      </c>
      <c r="E25" s="12">
        <v>198</v>
      </c>
      <c r="F25" s="8">
        <v>12.82</v>
      </c>
      <c r="G25" s="12">
        <v>158</v>
      </c>
      <c r="H25" s="8">
        <v>14.66</v>
      </c>
      <c r="I25" s="12">
        <v>0</v>
      </c>
    </row>
    <row r="26" spans="2:9" ht="15" customHeight="1" x14ac:dyDescent="0.2">
      <c r="B26" t="s">
        <v>114</v>
      </c>
      <c r="C26" s="12">
        <v>217</v>
      </c>
      <c r="D26" s="8">
        <v>8.26</v>
      </c>
      <c r="E26" s="12">
        <v>195</v>
      </c>
      <c r="F26" s="8">
        <v>12.62</v>
      </c>
      <c r="G26" s="12">
        <v>22</v>
      </c>
      <c r="H26" s="8">
        <v>2.04</v>
      </c>
      <c r="I26" s="12">
        <v>0</v>
      </c>
    </row>
    <row r="27" spans="2:9" ht="15" customHeight="1" x14ac:dyDescent="0.2">
      <c r="B27" t="s">
        <v>108</v>
      </c>
      <c r="C27" s="12">
        <v>193</v>
      </c>
      <c r="D27" s="8">
        <v>7.35</v>
      </c>
      <c r="E27" s="12">
        <v>128</v>
      </c>
      <c r="F27" s="8">
        <v>8.2799999999999994</v>
      </c>
      <c r="G27" s="12">
        <v>65</v>
      </c>
      <c r="H27" s="8">
        <v>6.03</v>
      </c>
      <c r="I27" s="12">
        <v>0</v>
      </c>
    </row>
    <row r="28" spans="2:9" ht="15" customHeight="1" x14ac:dyDescent="0.2">
      <c r="B28" t="s">
        <v>106</v>
      </c>
      <c r="C28" s="12">
        <v>153</v>
      </c>
      <c r="D28" s="8">
        <v>5.82</v>
      </c>
      <c r="E28" s="12">
        <v>125</v>
      </c>
      <c r="F28" s="8">
        <v>8.09</v>
      </c>
      <c r="G28" s="12">
        <v>28</v>
      </c>
      <c r="H28" s="8">
        <v>2.6</v>
      </c>
      <c r="I28" s="12">
        <v>0</v>
      </c>
    </row>
    <row r="29" spans="2:9" ht="15" customHeight="1" x14ac:dyDescent="0.2">
      <c r="B29" t="s">
        <v>116</v>
      </c>
      <c r="C29" s="12">
        <v>94</v>
      </c>
      <c r="D29" s="8">
        <v>3.58</v>
      </c>
      <c r="E29" s="12">
        <v>85</v>
      </c>
      <c r="F29" s="8">
        <v>5.5</v>
      </c>
      <c r="G29" s="12">
        <v>9</v>
      </c>
      <c r="H29" s="8">
        <v>0.83</v>
      </c>
      <c r="I29" s="12">
        <v>0</v>
      </c>
    </row>
    <row r="30" spans="2:9" ht="15" customHeight="1" x14ac:dyDescent="0.2">
      <c r="B30" t="s">
        <v>105</v>
      </c>
      <c r="C30" s="12">
        <v>83</v>
      </c>
      <c r="D30" s="8">
        <v>3.16</v>
      </c>
      <c r="E30" s="12">
        <v>70</v>
      </c>
      <c r="F30" s="8">
        <v>4.53</v>
      </c>
      <c r="G30" s="12">
        <v>13</v>
      </c>
      <c r="H30" s="8">
        <v>1.21</v>
      </c>
      <c r="I30" s="12">
        <v>0</v>
      </c>
    </row>
    <row r="31" spans="2:9" ht="15" customHeight="1" x14ac:dyDescent="0.2">
      <c r="B31" t="s">
        <v>101</v>
      </c>
      <c r="C31" s="12">
        <v>77</v>
      </c>
      <c r="D31" s="8">
        <v>2.93</v>
      </c>
      <c r="E31" s="12">
        <v>26</v>
      </c>
      <c r="F31" s="8">
        <v>1.68</v>
      </c>
      <c r="G31" s="12">
        <v>51</v>
      </c>
      <c r="H31" s="8">
        <v>4.7300000000000004</v>
      </c>
      <c r="I31" s="12">
        <v>0</v>
      </c>
    </row>
    <row r="32" spans="2:9" ht="15" customHeight="1" x14ac:dyDescent="0.2">
      <c r="B32" t="s">
        <v>98</v>
      </c>
      <c r="C32" s="12">
        <v>74</v>
      </c>
      <c r="D32" s="8">
        <v>2.82</v>
      </c>
      <c r="E32" s="12">
        <v>15</v>
      </c>
      <c r="F32" s="8">
        <v>0.97</v>
      </c>
      <c r="G32" s="12">
        <v>59</v>
      </c>
      <c r="H32" s="8">
        <v>5.47</v>
      </c>
      <c r="I32" s="12">
        <v>0</v>
      </c>
    </row>
    <row r="33" spans="2:9" ht="15" customHeight="1" x14ac:dyDescent="0.2">
      <c r="B33" t="s">
        <v>117</v>
      </c>
      <c r="C33" s="12">
        <v>69</v>
      </c>
      <c r="D33" s="8">
        <v>2.63</v>
      </c>
      <c r="E33" s="12">
        <v>0</v>
      </c>
      <c r="F33" s="8">
        <v>0</v>
      </c>
      <c r="G33" s="12">
        <v>67</v>
      </c>
      <c r="H33" s="8">
        <v>6.22</v>
      </c>
      <c r="I33" s="12">
        <v>2</v>
      </c>
    </row>
    <row r="34" spans="2:9" ht="15" customHeight="1" x14ac:dyDescent="0.2">
      <c r="B34" t="s">
        <v>99</v>
      </c>
      <c r="C34" s="12">
        <v>66</v>
      </c>
      <c r="D34" s="8">
        <v>2.5099999999999998</v>
      </c>
      <c r="E34" s="12">
        <v>19</v>
      </c>
      <c r="F34" s="8">
        <v>1.23</v>
      </c>
      <c r="G34" s="12">
        <v>47</v>
      </c>
      <c r="H34" s="8">
        <v>4.3600000000000003</v>
      </c>
      <c r="I34" s="12">
        <v>0</v>
      </c>
    </row>
    <row r="35" spans="2:9" ht="15" customHeight="1" x14ac:dyDescent="0.2">
      <c r="B35" t="s">
        <v>107</v>
      </c>
      <c r="C35" s="12">
        <v>63</v>
      </c>
      <c r="D35" s="8">
        <v>2.4</v>
      </c>
      <c r="E35" s="12">
        <v>37</v>
      </c>
      <c r="F35" s="8">
        <v>2.39</v>
      </c>
      <c r="G35" s="12">
        <v>26</v>
      </c>
      <c r="H35" s="8">
        <v>2.41</v>
      </c>
      <c r="I35" s="12">
        <v>0</v>
      </c>
    </row>
    <row r="36" spans="2:9" ht="15" customHeight="1" x14ac:dyDescent="0.2">
      <c r="B36" t="s">
        <v>100</v>
      </c>
      <c r="C36" s="12">
        <v>55</v>
      </c>
      <c r="D36" s="8">
        <v>2.09</v>
      </c>
      <c r="E36" s="12">
        <v>14</v>
      </c>
      <c r="F36" s="8">
        <v>0.91</v>
      </c>
      <c r="G36" s="12">
        <v>41</v>
      </c>
      <c r="H36" s="8">
        <v>3.8</v>
      </c>
      <c r="I36" s="12">
        <v>0</v>
      </c>
    </row>
    <row r="37" spans="2:9" ht="15" customHeight="1" x14ac:dyDescent="0.2">
      <c r="B37" t="s">
        <v>136</v>
      </c>
      <c r="C37" s="12">
        <v>51</v>
      </c>
      <c r="D37" s="8">
        <v>1.94</v>
      </c>
      <c r="E37" s="12">
        <v>36</v>
      </c>
      <c r="F37" s="8">
        <v>2.33</v>
      </c>
      <c r="G37" s="12">
        <v>15</v>
      </c>
      <c r="H37" s="8">
        <v>1.39</v>
      </c>
      <c r="I37" s="12">
        <v>0</v>
      </c>
    </row>
    <row r="38" spans="2:9" ht="15" customHeight="1" x14ac:dyDescent="0.2">
      <c r="B38" t="s">
        <v>102</v>
      </c>
      <c r="C38" s="12">
        <v>47</v>
      </c>
      <c r="D38" s="8">
        <v>1.79</v>
      </c>
      <c r="E38" s="12">
        <v>14</v>
      </c>
      <c r="F38" s="8">
        <v>0.91</v>
      </c>
      <c r="G38" s="12">
        <v>33</v>
      </c>
      <c r="H38" s="8">
        <v>3.06</v>
      </c>
      <c r="I38" s="12">
        <v>0</v>
      </c>
    </row>
    <row r="39" spans="2:9" ht="15" customHeight="1" x14ac:dyDescent="0.2">
      <c r="B39" t="s">
        <v>127</v>
      </c>
      <c r="C39" s="12">
        <v>40</v>
      </c>
      <c r="D39" s="8">
        <v>1.52</v>
      </c>
      <c r="E39" s="12">
        <v>8</v>
      </c>
      <c r="F39" s="8">
        <v>0.52</v>
      </c>
      <c r="G39" s="12">
        <v>32</v>
      </c>
      <c r="H39" s="8">
        <v>2.97</v>
      </c>
      <c r="I39" s="12">
        <v>0</v>
      </c>
    </row>
    <row r="40" spans="2:9" ht="15" customHeight="1" x14ac:dyDescent="0.2">
      <c r="B40" t="s">
        <v>109</v>
      </c>
      <c r="C40" s="12">
        <v>39</v>
      </c>
      <c r="D40" s="8">
        <v>1.48</v>
      </c>
      <c r="E40" s="12">
        <v>13</v>
      </c>
      <c r="F40" s="8">
        <v>0.84</v>
      </c>
      <c r="G40" s="12">
        <v>26</v>
      </c>
      <c r="H40" s="8">
        <v>2.41</v>
      </c>
      <c r="I40" s="12">
        <v>0</v>
      </c>
    </row>
    <row r="41" spans="2:9" ht="15" customHeight="1" x14ac:dyDescent="0.2">
      <c r="B41" t="s">
        <v>137</v>
      </c>
      <c r="C41" s="12">
        <v>36</v>
      </c>
      <c r="D41" s="8">
        <v>1.37</v>
      </c>
      <c r="E41" s="12">
        <v>12</v>
      </c>
      <c r="F41" s="8">
        <v>0.78</v>
      </c>
      <c r="G41" s="12">
        <v>24</v>
      </c>
      <c r="H41" s="8">
        <v>2.23</v>
      </c>
      <c r="I41" s="12">
        <v>0</v>
      </c>
    </row>
    <row r="42" spans="2:9" ht="15" customHeight="1" x14ac:dyDescent="0.2">
      <c r="B42" t="s">
        <v>130</v>
      </c>
      <c r="C42" s="12">
        <v>36</v>
      </c>
      <c r="D42" s="8">
        <v>1.37</v>
      </c>
      <c r="E42" s="12">
        <v>20</v>
      </c>
      <c r="F42" s="8">
        <v>1.29</v>
      </c>
      <c r="G42" s="12">
        <v>16</v>
      </c>
      <c r="H42" s="8">
        <v>1.48</v>
      </c>
      <c r="I42" s="12">
        <v>0</v>
      </c>
    </row>
    <row r="43" spans="2:9" ht="15" customHeight="1" x14ac:dyDescent="0.2">
      <c r="B43" t="s">
        <v>104</v>
      </c>
      <c r="C43" s="12">
        <v>35</v>
      </c>
      <c r="D43" s="8">
        <v>1.33</v>
      </c>
      <c r="E43" s="12">
        <v>12</v>
      </c>
      <c r="F43" s="8">
        <v>0.78</v>
      </c>
      <c r="G43" s="12">
        <v>23</v>
      </c>
      <c r="H43" s="8">
        <v>2.13</v>
      </c>
      <c r="I43" s="12">
        <v>0</v>
      </c>
    </row>
    <row r="46" spans="2:9" ht="33" customHeight="1" x14ac:dyDescent="0.2">
      <c r="B46" t="s">
        <v>273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160</v>
      </c>
      <c r="C47" s="12">
        <v>230</v>
      </c>
      <c r="D47" s="8">
        <v>8.76</v>
      </c>
      <c r="E47" s="12">
        <v>130</v>
      </c>
      <c r="F47" s="8">
        <v>8.41</v>
      </c>
      <c r="G47" s="12">
        <v>100</v>
      </c>
      <c r="H47" s="8">
        <v>9.2799999999999994</v>
      </c>
      <c r="I47" s="12">
        <v>0</v>
      </c>
    </row>
    <row r="48" spans="2:9" ht="15" customHeight="1" x14ac:dyDescent="0.2">
      <c r="B48" t="s">
        <v>167</v>
      </c>
      <c r="C48" s="12">
        <v>110</v>
      </c>
      <c r="D48" s="8">
        <v>4.1900000000000004</v>
      </c>
      <c r="E48" s="12">
        <v>106</v>
      </c>
      <c r="F48" s="8">
        <v>6.86</v>
      </c>
      <c r="G48" s="12">
        <v>4</v>
      </c>
      <c r="H48" s="8">
        <v>0.37</v>
      </c>
      <c r="I48" s="12">
        <v>0</v>
      </c>
    </row>
    <row r="49" spans="2:9" ht="15" customHeight="1" x14ac:dyDescent="0.2">
      <c r="B49" t="s">
        <v>169</v>
      </c>
      <c r="C49" s="12">
        <v>96</v>
      </c>
      <c r="D49" s="8">
        <v>3.65</v>
      </c>
      <c r="E49" s="12">
        <v>88</v>
      </c>
      <c r="F49" s="8">
        <v>5.7</v>
      </c>
      <c r="G49" s="12">
        <v>8</v>
      </c>
      <c r="H49" s="8">
        <v>0.74</v>
      </c>
      <c r="I49" s="12">
        <v>0</v>
      </c>
    </row>
    <row r="50" spans="2:9" ht="15" customHeight="1" x14ac:dyDescent="0.2">
      <c r="B50" t="s">
        <v>164</v>
      </c>
      <c r="C50" s="12">
        <v>79</v>
      </c>
      <c r="D50" s="8">
        <v>3.01</v>
      </c>
      <c r="E50" s="12">
        <v>70</v>
      </c>
      <c r="F50" s="8">
        <v>4.53</v>
      </c>
      <c r="G50" s="12">
        <v>9</v>
      </c>
      <c r="H50" s="8">
        <v>0.83</v>
      </c>
      <c r="I50" s="12">
        <v>0</v>
      </c>
    </row>
    <row r="51" spans="2:9" ht="15" customHeight="1" x14ac:dyDescent="0.2">
      <c r="B51" t="s">
        <v>157</v>
      </c>
      <c r="C51" s="12">
        <v>78</v>
      </c>
      <c r="D51" s="8">
        <v>2.97</v>
      </c>
      <c r="E51" s="12">
        <v>64</v>
      </c>
      <c r="F51" s="8">
        <v>4.1399999999999997</v>
      </c>
      <c r="G51" s="12">
        <v>14</v>
      </c>
      <c r="H51" s="8">
        <v>1.3</v>
      </c>
      <c r="I51" s="12">
        <v>0</v>
      </c>
    </row>
    <row r="52" spans="2:9" ht="15" customHeight="1" x14ac:dyDescent="0.2">
      <c r="B52" t="s">
        <v>161</v>
      </c>
      <c r="C52" s="12">
        <v>69</v>
      </c>
      <c r="D52" s="8">
        <v>2.63</v>
      </c>
      <c r="E52" s="12">
        <v>56</v>
      </c>
      <c r="F52" s="8">
        <v>3.62</v>
      </c>
      <c r="G52" s="12">
        <v>13</v>
      </c>
      <c r="H52" s="8">
        <v>1.21</v>
      </c>
      <c r="I52" s="12">
        <v>0</v>
      </c>
    </row>
    <row r="53" spans="2:9" ht="15" customHeight="1" x14ac:dyDescent="0.2">
      <c r="B53" t="s">
        <v>168</v>
      </c>
      <c r="C53" s="12">
        <v>68</v>
      </c>
      <c r="D53" s="8">
        <v>2.59</v>
      </c>
      <c r="E53" s="12">
        <v>67</v>
      </c>
      <c r="F53" s="8">
        <v>4.34</v>
      </c>
      <c r="G53" s="12">
        <v>1</v>
      </c>
      <c r="H53" s="8">
        <v>0.09</v>
      </c>
      <c r="I53" s="12">
        <v>0</v>
      </c>
    </row>
    <row r="54" spans="2:9" ht="15" customHeight="1" x14ac:dyDescent="0.2">
      <c r="B54" t="s">
        <v>165</v>
      </c>
      <c r="C54" s="12">
        <v>61</v>
      </c>
      <c r="D54" s="8">
        <v>2.3199999999999998</v>
      </c>
      <c r="E54" s="12">
        <v>55</v>
      </c>
      <c r="F54" s="8">
        <v>3.56</v>
      </c>
      <c r="G54" s="12">
        <v>6</v>
      </c>
      <c r="H54" s="8">
        <v>0.56000000000000005</v>
      </c>
      <c r="I54" s="12">
        <v>0</v>
      </c>
    </row>
    <row r="55" spans="2:9" ht="15" customHeight="1" x14ac:dyDescent="0.2">
      <c r="B55" t="s">
        <v>156</v>
      </c>
      <c r="C55" s="12">
        <v>58</v>
      </c>
      <c r="D55" s="8">
        <v>2.21</v>
      </c>
      <c r="E55" s="12">
        <v>48</v>
      </c>
      <c r="F55" s="8">
        <v>3.11</v>
      </c>
      <c r="G55" s="12">
        <v>10</v>
      </c>
      <c r="H55" s="8">
        <v>0.93</v>
      </c>
      <c r="I55" s="12">
        <v>0</v>
      </c>
    </row>
    <row r="56" spans="2:9" ht="15" customHeight="1" x14ac:dyDescent="0.2">
      <c r="B56" t="s">
        <v>171</v>
      </c>
      <c r="C56" s="12">
        <v>58</v>
      </c>
      <c r="D56" s="8">
        <v>2.21</v>
      </c>
      <c r="E56" s="12">
        <v>50</v>
      </c>
      <c r="F56" s="8">
        <v>3.24</v>
      </c>
      <c r="G56" s="12">
        <v>8</v>
      </c>
      <c r="H56" s="8">
        <v>0.74</v>
      </c>
      <c r="I56" s="12">
        <v>0</v>
      </c>
    </row>
    <row r="57" spans="2:9" ht="15" customHeight="1" x14ac:dyDescent="0.2">
      <c r="B57" t="s">
        <v>176</v>
      </c>
      <c r="C57" s="12">
        <v>54</v>
      </c>
      <c r="D57" s="8">
        <v>2.06</v>
      </c>
      <c r="E57" s="12">
        <v>18</v>
      </c>
      <c r="F57" s="8">
        <v>1.17</v>
      </c>
      <c r="G57" s="12">
        <v>36</v>
      </c>
      <c r="H57" s="8">
        <v>3.34</v>
      </c>
      <c r="I57" s="12">
        <v>0</v>
      </c>
    </row>
    <row r="58" spans="2:9" ht="15" customHeight="1" x14ac:dyDescent="0.2">
      <c r="B58" t="s">
        <v>209</v>
      </c>
      <c r="C58" s="12">
        <v>47</v>
      </c>
      <c r="D58" s="8">
        <v>1.79</v>
      </c>
      <c r="E58" s="12">
        <v>0</v>
      </c>
      <c r="F58" s="8">
        <v>0</v>
      </c>
      <c r="G58" s="12">
        <v>45</v>
      </c>
      <c r="H58" s="8">
        <v>4.17</v>
      </c>
      <c r="I58" s="12">
        <v>2</v>
      </c>
    </row>
    <row r="59" spans="2:9" ht="15" customHeight="1" x14ac:dyDescent="0.2">
      <c r="B59" t="s">
        <v>194</v>
      </c>
      <c r="C59" s="12">
        <v>41</v>
      </c>
      <c r="D59" s="8">
        <v>1.56</v>
      </c>
      <c r="E59" s="12">
        <v>32</v>
      </c>
      <c r="F59" s="8">
        <v>2.0699999999999998</v>
      </c>
      <c r="G59" s="12">
        <v>9</v>
      </c>
      <c r="H59" s="8">
        <v>0.83</v>
      </c>
      <c r="I59" s="12">
        <v>0</v>
      </c>
    </row>
    <row r="60" spans="2:9" ht="15" customHeight="1" x14ac:dyDescent="0.2">
      <c r="B60" t="s">
        <v>162</v>
      </c>
      <c r="C60" s="12">
        <v>39</v>
      </c>
      <c r="D60" s="8">
        <v>1.48</v>
      </c>
      <c r="E60" s="12">
        <v>7</v>
      </c>
      <c r="F60" s="8">
        <v>0.45</v>
      </c>
      <c r="G60" s="12">
        <v>32</v>
      </c>
      <c r="H60" s="8">
        <v>2.97</v>
      </c>
      <c r="I60" s="12">
        <v>0</v>
      </c>
    </row>
    <row r="61" spans="2:9" ht="15" customHeight="1" x14ac:dyDescent="0.2">
      <c r="B61" t="s">
        <v>211</v>
      </c>
      <c r="C61" s="12">
        <v>36</v>
      </c>
      <c r="D61" s="8">
        <v>1.37</v>
      </c>
      <c r="E61" s="12">
        <v>35</v>
      </c>
      <c r="F61" s="8">
        <v>2.27</v>
      </c>
      <c r="G61" s="12">
        <v>1</v>
      </c>
      <c r="H61" s="8">
        <v>0.09</v>
      </c>
      <c r="I61" s="12">
        <v>0</v>
      </c>
    </row>
    <row r="62" spans="2:9" ht="15" customHeight="1" x14ac:dyDescent="0.2">
      <c r="B62" t="s">
        <v>182</v>
      </c>
      <c r="C62" s="12">
        <v>33</v>
      </c>
      <c r="D62" s="8">
        <v>1.26</v>
      </c>
      <c r="E62" s="12">
        <v>27</v>
      </c>
      <c r="F62" s="8">
        <v>1.75</v>
      </c>
      <c r="G62" s="12">
        <v>6</v>
      </c>
      <c r="H62" s="8">
        <v>0.56000000000000005</v>
      </c>
      <c r="I62" s="12">
        <v>0</v>
      </c>
    </row>
    <row r="63" spans="2:9" ht="15" customHeight="1" x14ac:dyDescent="0.2">
      <c r="B63" t="s">
        <v>158</v>
      </c>
      <c r="C63" s="12">
        <v>31</v>
      </c>
      <c r="D63" s="8">
        <v>1.18</v>
      </c>
      <c r="E63" s="12">
        <v>12</v>
      </c>
      <c r="F63" s="8">
        <v>0.78</v>
      </c>
      <c r="G63" s="12">
        <v>19</v>
      </c>
      <c r="H63" s="8">
        <v>1.76</v>
      </c>
      <c r="I63" s="12">
        <v>0</v>
      </c>
    </row>
    <row r="64" spans="2:9" ht="15" customHeight="1" x14ac:dyDescent="0.2">
      <c r="B64" t="s">
        <v>155</v>
      </c>
      <c r="C64" s="12">
        <v>27</v>
      </c>
      <c r="D64" s="8">
        <v>1.03</v>
      </c>
      <c r="E64" s="12">
        <v>23</v>
      </c>
      <c r="F64" s="8">
        <v>1.49</v>
      </c>
      <c r="G64" s="12">
        <v>4</v>
      </c>
      <c r="H64" s="8">
        <v>0.37</v>
      </c>
      <c r="I64" s="12">
        <v>0</v>
      </c>
    </row>
    <row r="65" spans="2:9" ht="15" customHeight="1" x14ac:dyDescent="0.2">
      <c r="B65" t="s">
        <v>183</v>
      </c>
      <c r="C65" s="12">
        <v>27</v>
      </c>
      <c r="D65" s="8">
        <v>1.03</v>
      </c>
      <c r="E65" s="12">
        <v>26</v>
      </c>
      <c r="F65" s="8">
        <v>1.68</v>
      </c>
      <c r="G65" s="12">
        <v>1</v>
      </c>
      <c r="H65" s="8">
        <v>0.09</v>
      </c>
      <c r="I65" s="12">
        <v>0</v>
      </c>
    </row>
    <row r="66" spans="2:9" ht="15" customHeight="1" x14ac:dyDescent="0.2">
      <c r="B66" t="s">
        <v>213</v>
      </c>
      <c r="C66" s="12">
        <v>26</v>
      </c>
      <c r="D66" s="8">
        <v>0.99</v>
      </c>
      <c r="E66" s="12">
        <v>16</v>
      </c>
      <c r="F66" s="8">
        <v>1.04</v>
      </c>
      <c r="G66" s="12">
        <v>10</v>
      </c>
      <c r="H66" s="8">
        <v>0.93</v>
      </c>
      <c r="I66" s="12">
        <v>0</v>
      </c>
    </row>
    <row r="68" spans="2:9" ht="15" customHeight="1" x14ac:dyDescent="0.2">
      <c r="B68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9A4EB-CD9D-4F2D-8B9E-17B57140122E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294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552</v>
      </c>
      <c r="D6" s="8">
        <v>8.67</v>
      </c>
      <c r="E6" s="12">
        <v>57</v>
      </c>
      <c r="F6" s="8">
        <v>2.36</v>
      </c>
      <c r="G6" s="12">
        <v>495</v>
      </c>
      <c r="H6" s="8">
        <v>12.59</v>
      </c>
      <c r="I6" s="12">
        <v>0</v>
      </c>
    </row>
    <row r="7" spans="2:9" ht="15" customHeight="1" x14ac:dyDescent="0.2">
      <c r="B7" t="s">
        <v>77</v>
      </c>
      <c r="C7" s="12">
        <v>655</v>
      </c>
      <c r="D7" s="8">
        <v>10.28</v>
      </c>
      <c r="E7" s="12">
        <v>173</v>
      </c>
      <c r="F7" s="8">
        <v>7.15</v>
      </c>
      <c r="G7" s="12">
        <v>482</v>
      </c>
      <c r="H7" s="8">
        <v>12.26</v>
      </c>
      <c r="I7" s="12">
        <v>0</v>
      </c>
    </row>
    <row r="8" spans="2:9" ht="15" customHeight="1" x14ac:dyDescent="0.2">
      <c r="B8" t="s">
        <v>78</v>
      </c>
      <c r="C8" s="12">
        <v>4</v>
      </c>
      <c r="D8" s="8">
        <v>0.06</v>
      </c>
      <c r="E8" s="12">
        <v>0</v>
      </c>
      <c r="F8" s="8">
        <v>0</v>
      </c>
      <c r="G8" s="12">
        <v>4</v>
      </c>
      <c r="H8" s="8">
        <v>0.1</v>
      </c>
      <c r="I8" s="12">
        <v>0</v>
      </c>
    </row>
    <row r="9" spans="2:9" ht="15" customHeight="1" x14ac:dyDescent="0.2">
      <c r="B9" t="s">
        <v>79</v>
      </c>
      <c r="C9" s="12">
        <v>209</v>
      </c>
      <c r="D9" s="8">
        <v>3.28</v>
      </c>
      <c r="E9" s="12">
        <v>9</v>
      </c>
      <c r="F9" s="8">
        <v>0.37</v>
      </c>
      <c r="G9" s="12">
        <v>200</v>
      </c>
      <c r="H9" s="8">
        <v>5.09</v>
      </c>
      <c r="I9" s="12">
        <v>0</v>
      </c>
    </row>
    <row r="10" spans="2:9" ht="15" customHeight="1" x14ac:dyDescent="0.2">
      <c r="B10" t="s">
        <v>80</v>
      </c>
      <c r="C10" s="12">
        <v>60</v>
      </c>
      <c r="D10" s="8">
        <v>0.94</v>
      </c>
      <c r="E10" s="12">
        <v>14</v>
      </c>
      <c r="F10" s="8">
        <v>0.57999999999999996</v>
      </c>
      <c r="G10" s="12">
        <v>45</v>
      </c>
      <c r="H10" s="8">
        <v>1.1399999999999999</v>
      </c>
      <c r="I10" s="12">
        <v>1</v>
      </c>
    </row>
    <row r="11" spans="2:9" ht="15" customHeight="1" x14ac:dyDescent="0.2">
      <c r="B11" t="s">
        <v>81</v>
      </c>
      <c r="C11" s="12">
        <v>1563</v>
      </c>
      <c r="D11" s="8">
        <v>24.54</v>
      </c>
      <c r="E11" s="12">
        <v>407</v>
      </c>
      <c r="F11" s="8">
        <v>16.829999999999998</v>
      </c>
      <c r="G11" s="12">
        <v>1156</v>
      </c>
      <c r="H11" s="8">
        <v>29.39</v>
      </c>
      <c r="I11" s="12">
        <v>0</v>
      </c>
    </row>
    <row r="12" spans="2:9" ht="15" customHeight="1" x14ac:dyDescent="0.2">
      <c r="B12" t="s">
        <v>82</v>
      </c>
      <c r="C12" s="12">
        <v>42</v>
      </c>
      <c r="D12" s="8">
        <v>0.66</v>
      </c>
      <c r="E12" s="12">
        <v>4</v>
      </c>
      <c r="F12" s="8">
        <v>0.17</v>
      </c>
      <c r="G12" s="12">
        <v>38</v>
      </c>
      <c r="H12" s="8">
        <v>0.97</v>
      </c>
      <c r="I12" s="12">
        <v>0</v>
      </c>
    </row>
    <row r="13" spans="2:9" ht="15" customHeight="1" x14ac:dyDescent="0.2">
      <c r="B13" t="s">
        <v>83</v>
      </c>
      <c r="C13" s="12">
        <v>765</v>
      </c>
      <c r="D13" s="8">
        <v>12.01</v>
      </c>
      <c r="E13" s="12">
        <v>203</v>
      </c>
      <c r="F13" s="8">
        <v>8.39</v>
      </c>
      <c r="G13" s="12">
        <v>558</v>
      </c>
      <c r="H13" s="8">
        <v>14.19</v>
      </c>
      <c r="I13" s="12">
        <v>4</v>
      </c>
    </row>
    <row r="14" spans="2:9" ht="15" customHeight="1" x14ac:dyDescent="0.2">
      <c r="B14" t="s">
        <v>84</v>
      </c>
      <c r="C14" s="12">
        <v>647</v>
      </c>
      <c r="D14" s="8">
        <v>10.16</v>
      </c>
      <c r="E14" s="12">
        <v>286</v>
      </c>
      <c r="F14" s="8">
        <v>11.82</v>
      </c>
      <c r="G14" s="12">
        <v>360</v>
      </c>
      <c r="H14" s="8">
        <v>9.15</v>
      </c>
      <c r="I14" s="12">
        <v>1</v>
      </c>
    </row>
    <row r="15" spans="2:9" ht="15" customHeight="1" x14ac:dyDescent="0.2">
      <c r="B15" t="s">
        <v>85</v>
      </c>
      <c r="C15" s="12">
        <v>799</v>
      </c>
      <c r="D15" s="8">
        <v>12.55</v>
      </c>
      <c r="E15" s="12">
        <v>658</v>
      </c>
      <c r="F15" s="8">
        <v>27.2</v>
      </c>
      <c r="G15" s="12">
        <v>141</v>
      </c>
      <c r="H15" s="8">
        <v>3.59</v>
      </c>
      <c r="I15" s="12">
        <v>0</v>
      </c>
    </row>
    <row r="16" spans="2:9" ht="15" customHeight="1" x14ac:dyDescent="0.2">
      <c r="B16" t="s">
        <v>86</v>
      </c>
      <c r="C16" s="12">
        <v>445</v>
      </c>
      <c r="D16" s="8">
        <v>6.99</v>
      </c>
      <c r="E16" s="12">
        <v>325</v>
      </c>
      <c r="F16" s="8">
        <v>13.44</v>
      </c>
      <c r="G16" s="12">
        <v>119</v>
      </c>
      <c r="H16" s="8">
        <v>3.03</v>
      </c>
      <c r="I16" s="12">
        <v>1</v>
      </c>
    </row>
    <row r="17" spans="2:9" ht="15" customHeight="1" x14ac:dyDescent="0.2">
      <c r="B17" t="s">
        <v>87</v>
      </c>
      <c r="C17" s="12">
        <v>135</v>
      </c>
      <c r="D17" s="8">
        <v>2.12</v>
      </c>
      <c r="E17" s="12">
        <v>81</v>
      </c>
      <c r="F17" s="8">
        <v>3.35</v>
      </c>
      <c r="G17" s="12">
        <v>53</v>
      </c>
      <c r="H17" s="8">
        <v>1.35</v>
      </c>
      <c r="I17" s="12">
        <v>0</v>
      </c>
    </row>
    <row r="18" spans="2:9" ht="15" customHeight="1" x14ac:dyDescent="0.2">
      <c r="B18" t="s">
        <v>88</v>
      </c>
      <c r="C18" s="12">
        <v>260</v>
      </c>
      <c r="D18" s="8">
        <v>4.08</v>
      </c>
      <c r="E18" s="12">
        <v>175</v>
      </c>
      <c r="F18" s="8">
        <v>7.23</v>
      </c>
      <c r="G18" s="12">
        <v>83</v>
      </c>
      <c r="H18" s="8">
        <v>2.11</v>
      </c>
      <c r="I18" s="12">
        <v>2</v>
      </c>
    </row>
    <row r="19" spans="2:9" ht="15" customHeight="1" x14ac:dyDescent="0.2">
      <c r="B19" t="s">
        <v>89</v>
      </c>
      <c r="C19" s="12">
        <v>233</v>
      </c>
      <c r="D19" s="8">
        <v>3.66</v>
      </c>
      <c r="E19" s="12">
        <v>27</v>
      </c>
      <c r="F19" s="8">
        <v>1.1200000000000001</v>
      </c>
      <c r="G19" s="12">
        <v>199</v>
      </c>
      <c r="H19" s="8">
        <v>5.0599999999999996</v>
      </c>
      <c r="I19" s="12">
        <v>7</v>
      </c>
    </row>
    <row r="20" spans="2:9" ht="15" customHeight="1" x14ac:dyDescent="0.2">
      <c r="B20" s="9" t="s">
        <v>271</v>
      </c>
      <c r="C20" s="12">
        <f>SUM(LTBL_27123[総数／事業所数])</f>
        <v>6369</v>
      </c>
      <c r="E20" s="12">
        <f>SUBTOTAL(109,LTBL_27123[個人／事業所数])</f>
        <v>2419</v>
      </c>
      <c r="G20" s="12">
        <f>SUBTOTAL(109,LTBL_27123[法人／事業所数])</f>
        <v>3933</v>
      </c>
      <c r="I20" s="12">
        <f>SUBTOTAL(109,LTBL_27123[法人以外の団体／事業所数])</f>
        <v>16</v>
      </c>
    </row>
    <row r="21" spans="2:9" ht="15" customHeight="1" x14ac:dyDescent="0.2">
      <c r="E21" s="11">
        <f>LTBL_27123[[#Totals],[個人／事業所数]]/LTBL_27123[[#Totals],[総数／事業所数]]</f>
        <v>0.37980844716596013</v>
      </c>
      <c r="G21" s="11">
        <f>LTBL_27123[[#Totals],[法人／事業所数]]/LTBL_27123[[#Totals],[総数／事業所数]]</f>
        <v>0.61752237399905796</v>
      </c>
      <c r="I21" s="11">
        <f>LTBL_27123[[#Totals],[法人以外の団体／事業所数]]/LTBL_27123[[#Totals],[総数／事業所数]]</f>
        <v>2.5121683152771234E-3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113</v>
      </c>
      <c r="C24" s="12">
        <v>745</v>
      </c>
      <c r="D24" s="8">
        <v>11.7</v>
      </c>
      <c r="E24" s="12">
        <v>644</v>
      </c>
      <c r="F24" s="8">
        <v>26.62</v>
      </c>
      <c r="G24" s="12">
        <v>101</v>
      </c>
      <c r="H24" s="8">
        <v>2.57</v>
      </c>
      <c r="I24" s="12">
        <v>0</v>
      </c>
    </row>
    <row r="25" spans="2:9" ht="15" customHeight="1" x14ac:dyDescent="0.2">
      <c r="B25" t="s">
        <v>110</v>
      </c>
      <c r="C25" s="12">
        <v>580</v>
      </c>
      <c r="D25" s="8">
        <v>9.11</v>
      </c>
      <c r="E25" s="12">
        <v>184</v>
      </c>
      <c r="F25" s="8">
        <v>7.61</v>
      </c>
      <c r="G25" s="12">
        <v>392</v>
      </c>
      <c r="H25" s="8">
        <v>9.9700000000000006</v>
      </c>
      <c r="I25" s="12">
        <v>4</v>
      </c>
    </row>
    <row r="26" spans="2:9" ht="15" customHeight="1" x14ac:dyDescent="0.2">
      <c r="B26" t="s">
        <v>111</v>
      </c>
      <c r="C26" s="12">
        <v>405</v>
      </c>
      <c r="D26" s="8">
        <v>6.36</v>
      </c>
      <c r="E26" s="12">
        <v>236</v>
      </c>
      <c r="F26" s="8">
        <v>9.76</v>
      </c>
      <c r="G26" s="12">
        <v>168</v>
      </c>
      <c r="H26" s="8">
        <v>4.2699999999999996</v>
      </c>
      <c r="I26" s="12">
        <v>1</v>
      </c>
    </row>
    <row r="27" spans="2:9" ht="15" customHeight="1" x14ac:dyDescent="0.2">
      <c r="B27" t="s">
        <v>103</v>
      </c>
      <c r="C27" s="12">
        <v>374</v>
      </c>
      <c r="D27" s="8">
        <v>5.87</v>
      </c>
      <c r="E27" s="12">
        <v>7</v>
      </c>
      <c r="F27" s="8">
        <v>0.28999999999999998</v>
      </c>
      <c r="G27" s="12">
        <v>367</v>
      </c>
      <c r="H27" s="8">
        <v>9.33</v>
      </c>
      <c r="I27" s="12">
        <v>0</v>
      </c>
    </row>
    <row r="28" spans="2:9" ht="15" customHeight="1" x14ac:dyDescent="0.2">
      <c r="B28" t="s">
        <v>114</v>
      </c>
      <c r="C28" s="12">
        <v>338</v>
      </c>
      <c r="D28" s="8">
        <v>5.31</v>
      </c>
      <c r="E28" s="12">
        <v>282</v>
      </c>
      <c r="F28" s="8">
        <v>11.66</v>
      </c>
      <c r="G28" s="12">
        <v>56</v>
      </c>
      <c r="H28" s="8">
        <v>1.42</v>
      </c>
      <c r="I28" s="12">
        <v>0</v>
      </c>
    </row>
    <row r="29" spans="2:9" ht="15" customHeight="1" x14ac:dyDescent="0.2">
      <c r="B29" t="s">
        <v>108</v>
      </c>
      <c r="C29" s="12">
        <v>253</v>
      </c>
      <c r="D29" s="8">
        <v>3.97</v>
      </c>
      <c r="E29" s="12">
        <v>147</v>
      </c>
      <c r="F29" s="8">
        <v>6.08</v>
      </c>
      <c r="G29" s="12">
        <v>106</v>
      </c>
      <c r="H29" s="8">
        <v>2.7</v>
      </c>
      <c r="I29" s="12">
        <v>0</v>
      </c>
    </row>
    <row r="30" spans="2:9" ht="15" customHeight="1" x14ac:dyDescent="0.2">
      <c r="B30" t="s">
        <v>116</v>
      </c>
      <c r="C30" s="12">
        <v>207</v>
      </c>
      <c r="D30" s="8">
        <v>3.25</v>
      </c>
      <c r="E30" s="12">
        <v>173</v>
      </c>
      <c r="F30" s="8">
        <v>7.15</v>
      </c>
      <c r="G30" s="12">
        <v>34</v>
      </c>
      <c r="H30" s="8">
        <v>0.86</v>
      </c>
      <c r="I30" s="12">
        <v>0</v>
      </c>
    </row>
    <row r="31" spans="2:9" ht="15" customHeight="1" x14ac:dyDescent="0.2">
      <c r="B31" t="s">
        <v>100</v>
      </c>
      <c r="C31" s="12">
        <v>205</v>
      </c>
      <c r="D31" s="8">
        <v>3.22</v>
      </c>
      <c r="E31" s="12">
        <v>17</v>
      </c>
      <c r="F31" s="8">
        <v>0.7</v>
      </c>
      <c r="G31" s="12">
        <v>188</v>
      </c>
      <c r="H31" s="8">
        <v>4.78</v>
      </c>
      <c r="I31" s="12">
        <v>0</v>
      </c>
    </row>
    <row r="32" spans="2:9" ht="15" customHeight="1" x14ac:dyDescent="0.2">
      <c r="B32" t="s">
        <v>106</v>
      </c>
      <c r="C32" s="12">
        <v>200</v>
      </c>
      <c r="D32" s="8">
        <v>3.14</v>
      </c>
      <c r="E32" s="12">
        <v>124</v>
      </c>
      <c r="F32" s="8">
        <v>5.13</v>
      </c>
      <c r="G32" s="12">
        <v>76</v>
      </c>
      <c r="H32" s="8">
        <v>1.93</v>
      </c>
      <c r="I32" s="12">
        <v>0</v>
      </c>
    </row>
    <row r="33" spans="2:9" ht="15" customHeight="1" x14ac:dyDescent="0.2">
      <c r="B33" t="s">
        <v>112</v>
      </c>
      <c r="C33" s="12">
        <v>196</v>
      </c>
      <c r="D33" s="8">
        <v>3.08</v>
      </c>
      <c r="E33" s="12">
        <v>49</v>
      </c>
      <c r="F33" s="8">
        <v>2.0299999999999998</v>
      </c>
      <c r="G33" s="12">
        <v>147</v>
      </c>
      <c r="H33" s="8">
        <v>3.74</v>
      </c>
      <c r="I33" s="12">
        <v>0</v>
      </c>
    </row>
    <row r="34" spans="2:9" ht="15" customHeight="1" x14ac:dyDescent="0.2">
      <c r="B34" t="s">
        <v>104</v>
      </c>
      <c r="C34" s="12">
        <v>185</v>
      </c>
      <c r="D34" s="8">
        <v>2.9</v>
      </c>
      <c r="E34" s="12">
        <v>8</v>
      </c>
      <c r="F34" s="8">
        <v>0.33</v>
      </c>
      <c r="G34" s="12">
        <v>177</v>
      </c>
      <c r="H34" s="8">
        <v>4.5</v>
      </c>
      <c r="I34" s="12">
        <v>0</v>
      </c>
    </row>
    <row r="35" spans="2:9" ht="15" customHeight="1" x14ac:dyDescent="0.2">
      <c r="B35" t="s">
        <v>99</v>
      </c>
      <c r="C35" s="12">
        <v>176</v>
      </c>
      <c r="D35" s="8">
        <v>2.76</v>
      </c>
      <c r="E35" s="12">
        <v>24</v>
      </c>
      <c r="F35" s="8">
        <v>0.99</v>
      </c>
      <c r="G35" s="12">
        <v>152</v>
      </c>
      <c r="H35" s="8">
        <v>3.86</v>
      </c>
      <c r="I35" s="12">
        <v>0</v>
      </c>
    </row>
    <row r="36" spans="2:9" ht="15" customHeight="1" x14ac:dyDescent="0.2">
      <c r="B36" t="s">
        <v>98</v>
      </c>
      <c r="C36" s="12">
        <v>171</v>
      </c>
      <c r="D36" s="8">
        <v>2.68</v>
      </c>
      <c r="E36" s="12">
        <v>16</v>
      </c>
      <c r="F36" s="8">
        <v>0.66</v>
      </c>
      <c r="G36" s="12">
        <v>155</v>
      </c>
      <c r="H36" s="8">
        <v>3.94</v>
      </c>
      <c r="I36" s="12">
        <v>0</v>
      </c>
    </row>
    <row r="37" spans="2:9" ht="15" customHeight="1" x14ac:dyDescent="0.2">
      <c r="B37" t="s">
        <v>109</v>
      </c>
      <c r="C37" s="12">
        <v>155</v>
      </c>
      <c r="D37" s="8">
        <v>2.4300000000000002</v>
      </c>
      <c r="E37" s="12">
        <v>17</v>
      </c>
      <c r="F37" s="8">
        <v>0.7</v>
      </c>
      <c r="G37" s="12">
        <v>138</v>
      </c>
      <c r="H37" s="8">
        <v>3.51</v>
      </c>
      <c r="I37" s="12">
        <v>0</v>
      </c>
    </row>
    <row r="38" spans="2:9" ht="15" customHeight="1" x14ac:dyDescent="0.2">
      <c r="B38" t="s">
        <v>102</v>
      </c>
      <c r="C38" s="12">
        <v>154</v>
      </c>
      <c r="D38" s="8">
        <v>2.42</v>
      </c>
      <c r="E38" s="12">
        <v>8</v>
      </c>
      <c r="F38" s="8">
        <v>0.33</v>
      </c>
      <c r="G38" s="12">
        <v>146</v>
      </c>
      <c r="H38" s="8">
        <v>3.71</v>
      </c>
      <c r="I38" s="12">
        <v>0</v>
      </c>
    </row>
    <row r="39" spans="2:9" ht="15" customHeight="1" x14ac:dyDescent="0.2">
      <c r="B39" t="s">
        <v>125</v>
      </c>
      <c r="C39" s="12">
        <v>149</v>
      </c>
      <c r="D39" s="8">
        <v>2.34</v>
      </c>
      <c r="E39" s="12">
        <v>6</v>
      </c>
      <c r="F39" s="8">
        <v>0.25</v>
      </c>
      <c r="G39" s="12">
        <v>143</v>
      </c>
      <c r="H39" s="8">
        <v>3.64</v>
      </c>
      <c r="I39" s="12">
        <v>0</v>
      </c>
    </row>
    <row r="40" spans="2:9" ht="15" customHeight="1" x14ac:dyDescent="0.2">
      <c r="B40" t="s">
        <v>101</v>
      </c>
      <c r="C40" s="12">
        <v>146</v>
      </c>
      <c r="D40" s="8">
        <v>2.29</v>
      </c>
      <c r="E40" s="12">
        <v>45</v>
      </c>
      <c r="F40" s="8">
        <v>1.86</v>
      </c>
      <c r="G40" s="12">
        <v>101</v>
      </c>
      <c r="H40" s="8">
        <v>2.57</v>
      </c>
      <c r="I40" s="12">
        <v>0</v>
      </c>
    </row>
    <row r="41" spans="2:9" ht="15" customHeight="1" x14ac:dyDescent="0.2">
      <c r="B41" t="s">
        <v>115</v>
      </c>
      <c r="C41" s="12">
        <v>135</v>
      </c>
      <c r="D41" s="8">
        <v>2.12</v>
      </c>
      <c r="E41" s="12">
        <v>81</v>
      </c>
      <c r="F41" s="8">
        <v>3.35</v>
      </c>
      <c r="G41" s="12">
        <v>53</v>
      </c>
      <c r="H41" s="8">
        <v>1.35</v>
      </c>
      <c r="I41" s="12">
        <v>0</v>
      </c>
    </row>
    <row r="42" spans="2:9" ht="15" customHeight="1" x14ac:dyDescent="0.2">
      <c r="B42" t="s">
        <v>119</v>
      </c>
      <c r="C42" s="12">
        <v>135</v>
      </c>
      <c r="D42" s="8">
        <v>2.12</v>
      </c>
      <c r="E42" s="12">
        <v>10</v>
      </c>
      <c r="F42" s="8">
        <v>0.41</v>
      </c>
      <c r="G42" s="12">
        <v>118</v>
      </c>
      <c r="H42" s="8">
        <v>3</v>
      </c>
      <c r="I42" s="12">
        <v>7</v>
      </c>
    </row>
    <row r="43" spans="2:9" ht="15" customHeight="1" x14ac:dyDescent="0.2">
      <c r="B43" t="s">
        <v>127</v>
      </c>
      <c r="C43" s="12">
        <v>103</v>
      </c>
      <c r="D43" s="8">
        <v>1.62</v>
      </c>
      <c r="E43" s="12">
        <v>30</v>
      </c>
      <c r="F43" s="8">
        <v>1.24</v>
      </c>
      <c r="G43" s="12">
        <v>73</v>
      </c>
      <c r="H43" s="8">
        <v>1.86</v>
      </c>
      <c r="I43" s="12">
        <v>0</v>
      </c>
    </row>
    <row r="46" spans="2:9" ht="33" customHeight="1" x14ac:dyDescent="0.2">
      <c r="B46" t="s">
        <v>273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160</v>
      </c>
      <c r="C47" s="12">
        <v>312</v>
      </c>
      <c r="D47" s="8">
        <v>4.9000000000000004</v>
      </c>
      <c r="E47" s="12">
        <v>130</v>
      </c>
      <c r="F47" s="8">
        <v>5.37</v>
      </c>
      <c r="G47" s="12">
        <v>182</v>
      </c>
      <c r="H47" s="8">
        <v>4.63</v>
      </c>
      <c r="I47" s="12">
        <v>0</v>
      </c>
    </row>
    <row r="48" spans="2:9" ht="15" customHeight="1" x14ac:dyDescent="0.2">
      <c r="B48" t="s">
        <v>165</v>
      </c>
      <c r="C48" s="12">
        <v>201</v>
      </c>
      <c r="D48" s="8">
        <v>3.16</v>
      </c>
      <c r="E48" s="12">
        <v>180</v>
      </c>
      <c r="F48" s="8">
        <v>7.44</v>
      </c>
      <c r="G48" s="12">
        <v>21</v>
      </c>
      <c r="H48" s="8">
        <v>0.53</v>
      </c>
      <c r="I48" s="12">
        <v>0</v>
      </c>
    </row>
    <row r="49" spans="2:9" ht="15" customHeight="1" x14ac:dyDescent="0.2">
      <c r="B49" t="s">
        <v>164</v>
      </c>
      <c r="C49" s="12">
        <v>178</v>
      </c>
      <c r="D49" s="8">
        <v>2.79</v>
      </c>
      <c r="E49" s="12">
        <v>145</v>
      </c>
      <c r="F49" s="8">
        <v>5.99</v>
      </c>
      <c r="G49" s="12">
        <v>33</v>
      </c>
      <c r="H49" s="8">
        <v>0.84</v>
      </c>
      <c r="I49" s="12">
        <v>0</v>
      </c>
    </row>
    <row r="50" spans="2:9" ht="15" customHeight="1" x14ac:dyDescent="0.2">
      <c r="B50" t="s">
        <v>169</v>
      </c>
      <c r="C50" s="12">
        <v>160</v>
      </c>
      <c r="D50" s="8">
        <v>2.5099999999999998</v>
      </c>
      <c r="E50" s="12">
        <v>148</v>
      </c>
      <c r="F50" s="8">
        <v>6.12</v>
      </c>
      <c r="G50" s="12">
        <v>12</v>
      </c>
      <c r="H50" s="8">
        <v>0.31</v>
      </c>
      <c r="I50" s="12">
        <v>0</v>
      </c>
    </row>
    <row r="51" spans="2:9" ht="15" customHeight="1" x14ac:dyDescent="0.2">
      <c r="B51" t="s">
        <v>200</v>
      </c>
      <c r="C51" s="12">
        <v>143</v>
      </c>
      <c r="D51" s="8">
        <v>2.25</v>
      </c>
      <c r="E51" s="12">
        <v>3</v>
      </c>
      <c r="F51" s="8">
        <v>0.12</v>
      </c>
      <c r="G51" s="12">
        <v>140</v>
      </c>
      <c r="H51" s="8">
        <v>3.56</v>
      </c>
      <c r="I51" s="12">
        <v>0</v>
      </c>
    </row>
    <row r="52" spans="2:9" ht="15" customHeight="1" x14ac:dyDescent="0.2">
      <c r="B52" t="s">
        <v>171</v>
      </c>
      <c r="C52" s="12">
        <v>139</v>
      </c>
      <c r="D52" s="8">
        <v>2.1800000000000002</v>
      </c>
      <c r="E52" s="12">
        <v>114</v>
      </c>
      <c r="F52" s="8">
        <v>4.71</v>
      </c>
      <c r="G52" s="12">
        <v>25</v>
      </c>
      <c r="H52" s="8">
        <v>0.64</v>
      </c>
      <c r="I52" s="12">
        <v>0</v>
      </c>
    </row>
    <row r="53" spans="2:9" ht="15" customHeight="1" x14ac:dyDescent="0.2">
      <c r="B53" t="s">
        <v>163</v>
      </c>
      <c r="C53" s="12">
        <v>134</v>
      </c>
      <c r="D53" s="8">
        <v>2.1</v>
      </c>
      <c r="E53" s="12">
        <v>123</v>
      </c>
      <c r="F53" s="8">
        <v>5.08</v>
      </c>
      <c r="G53" s="12">
        <v>11</v>
      </c>
      <c r="H53" s="8">
        <v>0.28000000000000003</v>
      </c>
      <c r="I53" s="12">
        <v>0</v>
      </c>
    </row>
    <row r="54" spans="2:9" ht="15" customHeight="1" x14ac:dyDescent="0.2">
      <c r="B54" t="s">
        <v>185</v>
      </c>
      <c r="C54" s="12">
        <v>133</v>
      </c>
      <c r="D54" s="8">
        <v>2.09</v>
      </c>
      <c r="E54" s="12">
        <v>6</v>
      </c>
      <c r="F54" s="8">
        <v>0.25</v>
      </c>
      <c r="G54" s="12">
        <v>127</v>
      </c>
      <c r="H54" s="8">
        <v>3.23</v>
      </c>
      <c r="I54" s="12">
        <v>0</v>
      </c>
    </row>
    <row r="55" spans="2:9" ht="15" customHeight="1" x14ac:dyDescent="0.2">
      <c r="B55" t="s">
        <v>167</v>
      </c>
      <c r="C55" s="12">
        <v>129</v>
      </c>
      <c r="D55" s="8">
        <v>2.0299999999999998</v>
      </c>
      <c r="E55" s="12">
        <v>119</v>
      </c>
      <c r="F55" s="8">
        <v>4.92</v>
      </c>
      <c r="G55" s="12">
        <v>10</v>
      </c>
      <c r="H55" s="8">
        <v>0.25</v>
      </c>
      <c r="I55" s="12">
        <v>0</v>
      </c>
    </row>
    <row r="56" spans="2:9" ht="15" customHeight="1" x14ac:dyDescent="0.2">
      <c r="B56" t="s">
        <v>172</v>
      </c>
      <c r="C56" s="12">
        <v>123</v>
      </c>
      <c r="D56" s="8">
        <v>1.93</v>
      </c>
      <c r="E56" s="12">
        <v>35</v>
      </c>
      <c r="F56" s="8">
        <v>1.45</v>
      </c>
      <c r="G56" s="12">
        <v>88</v>
      </c>
      <c r="H56" s="8">
        <v>2.2400000000000002</v>
      </c>
      <c r="I56" s="12">
        <v>0</v>
      </c>
    </row>
    <row r="57" spans="2:9" ht="15" customHeight="1" x14ac:dyDescent="0.2">
      <c r="B57" t="s">
        <v>179</v>
      </c>
      <c r="C57" s="12">
        <v>121</v>
      </c>
      <c r="D57" s="8">
        <v>1.9</v>
      </c>
      <c r="E57" s="12">
        <v>3</v>
      </c>
      <c r="F57" s="8">
        <v>0.12</v>
      </c>
      <c r="G57" s="12">
        <v>118</v>
      </c>
      <c r="H57" s="8">
        <v>3</v>
      </c>
      <c r="I57" s="12">
        <v>0</v>
      </c>
    </row>
    <row r="58" spans="2:9" ht="15" customHeight="1" x14ac:dyDescent="0.2">
      <c r="B58" t="s">
        <v>158</v>
      </c>
      <c r="C58" s="12">
        <v>112</v>
      </c>
      <c r="D58" s="8">
        <v>1.76</v>
      </c>
      <c r="E58" s="12">
        <v>13</v>
      </c>
      <c r="F58" s="8">
        <v>0.54</v>
      </c>
      <c r="G58" s="12">
        <v>99</v>
      </c>
      <c r="H58" s="8">
        <v>2.52</v>
      </c>
      <c r="I58" s="12">
        <v>0</v>
      </c>
    </row>
    <row r="59" spans="2:9" ht="15" customHeight="1" x14ac:dyDescent="0.2">
      <c r="B59" t="s">
        <v>159</v>
      </c>
      <c r="C59" s="12">
        <v>107</v>
      </c>
      <c r="D59" s="8">
        <v>1.68</v>
      </c>
      <c r="E59" s="12">
        <v>16</v>
      </c>
      <c r="F59" s="8">
        <v>0.66</v>
      </c>
      <c r="G59" s="12">
        <v>91</v>
      </c>
      <c r="H59" s="8">
        <v>2.31</v>
      </c>
      <c r="I59" s="12">
        <v>0</v>
      </c>
    </row>
    <row r="60" spans="2:9" ht="15" customHeight="1" x14ac:dyDescent="0.2">
      <c r="B60" t="s">
        <v>162</v>
      </c>
      <c r="C60" s="12">
        <v>104</v>
      </c>
      <c r="D60" s="8">
        <v>1.63</v>
      </c>
      <c r="E60" s="12">
        <v>7</v>
      </c>
      <c r="F60" s="8">
        <v>0.28999999999999998</v>
      </c>
      <c r="G60" s="12">
        <v>93</v>
      </c>
      <c r="H60" s="8">
        <v>2.36</v>
      </c>
      <c r="I60" s="12">
        <v>4</v>
      </c>
    </row>
    <row r="61" spans="2:9" ht="15" customHeight="1" x14ac:dyDescent="0.2">
      <c r="B61" t="s">
        <v>154</v>
      </c>
      <c r="C61" s="12">
        <v>101</v>
      </c>
      <c r="D61" s="8">
        <v>1.59</v>
      </c>
      <c r="E61" s="12">
        <v>4</v>
      </c>
      <c r="F61" s="8">
        <v>0.17</v>
      </c>
      <c r="G61" s="12">
        <v>97</v>
      </c>
      <c r="H61" s="8">
        <v>2.4700000000000002</v>
      </c>
      <c r="I61" s="12">
        <v>0</v>
      </c>
    </row>
    <row r="62" spans="2:9" ht="15" customHeight="1" x14ac:dyDescent="0.2">
      <c r="B62" t="s">
        <v>173</v>
      </c>
      <c r="C62" s="12">
        <v>99</v>
      </c>
      <c r="D62" s="8">
        <v>1.55</v>
      </c>
      <c r="E62" s="12">
        <v>7</v>
      </c>
      <c r="F62" s="8">
        <v>0.28999999999999998</v>
      </c>
      <c r="G62" s="12">
        <v>85</v>
      </c>
      <c r="H62" s="8">
        <v>2.16</v>
      </c>
      <c r="I62" s="12">
        <v>7</v>
      </c>
    </row>
    <row r="63" spans="2:9" ht="15" customHeight="1" x14ac:dyDescent="0.2">
      <c r="B63" t="s">
        <v>166</v>
      </c>
      <c r="C63" s="12">
        <v>98</v>
      </c>
      <c r="D63" s="8">
        <v>1.54</v>
      </c>
      <c r="E63" s="12">
        <v>90</v>
      </c>
      <c r="F63" s="8">
        <v>3.72</v>
      </c>
      <c r="G63" s="12">
        <v>8</v>
      </c>
      <c r="H63" s="8">
        <v>0.2</v>
      </c>
      <c r="I63" s="12">
        <v>0</v>
      </c>
    </row>
    <row r="64" spans="2:9" ht="15" customHeight="1" x14ac:dyDescent="0.2">
      <c r="B64" t="s">
        <v>157</v>
      </c>
      <c r="C64" s="12">
        <v>96</v>
      </c>
      <c r="D64" s="8">
        <v>1.51</v>
      </c>
      <c r="E64" s="12">
        <v>74</v>
      </c>
      <c r="F64" s="8">
        <v>3.06</v>
      </c>
      <c r="G64" s="12">
        <v>22</v>
      </c>
      <c r="H64" s="8">
        <v>0.56000000000000005</v>
      </c>
      <c r="I64" s="12">
        <v>0</v>
      </c>
    </row>
    <row r="65" spans="2:9" ht="15" customHeight="1" x14ac:dyDescent="0.2">
      <c r="B65" t="s">
        <v>214</v>
      </c>
      <c r="C65" s="12">
        <v>88</v>
      </c>
      <c r="D65" s="8">
        <v>1.38</v>
      </c>
      <c r="E65" s="12">
        <v>1</v>
      </c>
      <c r="F65" s="8">
        <v>0.04</v>
      </c>
      <c r="G65" s="12">
        <v>87</v>
      </c>
      <c r="H65" s="8">
        <v>2.21</v>
      </c>
      <c r="I65" s="12">
        <v>0</v>
      </c>
    </row>
    <row r="66" spans="2:9" ht="15" customHeight="1" x14ac:dyDescent="0.2">
      <c r="B66" t="s">
        <v>156</v>
      </c>
      <c r="C66" s="12">
        <v>82</v>
      </c>
      <c r="D66" s="8">
        <v>1.29</v>
      </c>
      <c r="E66" s="12">
        <v>48</v>
      </c>
      <c r="F66" s="8">
        <v>1.98</v>
      </c>
      <c r="G66" s="12">
        <v>34</v>
      </c>
      <c r="H66" s="8">
        <v>0.86</v>
      </c>
      <c r="I66" s="12">
        <v>0</v>
      </c>
    </row>
    <row r="68" spans="2:9" ht="15" customHeight="1" x14ac:dyDescent="0.2">
      <c r="B68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1BADD-592A-4927-8F29-235FC56352BA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295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266</v>
      </c>
      <c r="D6" s="8">
        <v>12.49</v>
      </c>
      <c r="E6" s="12">
        <v>46</v>
      </c>
      <c r="F6" s="8">
        <v>4.83</v>
      </c>
      <c r="G6" s="12">
        <v>220</v>
      </c>
      <c r="H6" s="8">
        <v>18.79</v>
      </c>
      <c r="I6" s="12">
        <v>0</v>
      </c>
    </row>
    <row r="7" spans="2:9" ht="15" customHeight="1" x14ac:dyDescent="0.2">
      <c r="B7" t="s">
        <v>77</v>
      </c>
      <c r="C7" s="12">
        <v>332</v>
      </c>
      <c r="D7" s="8">
        <v>15.59</v>
      </c>
      <c r="E7" s="12">
        <v>108</v>
      </c>
      <c r="F7" s="8">
        <v>11.34</v>
      </c>
      <c r="G7" s="12">
        <v>224</v>
      </c>
      <c r="H7" s="8">
        <v>19.13</v>
      </c>
      <c r="I7" s="12">
        <v>0</v>
      </c>
    </row>
    <row r="8" spans="2:9" ht="15" customHeight="1" x14ac:dyDescent="0.2">
      <c r="B8" t="s">
        <v>78</v>
      </c>
      <c r="C8" s="12">
        <v>2</v>
      </c>
      <c r="D8" s="8">
        <v>0.09</v>
      </c>
      <c r="E8" s="12">
        <v>0</v>
      </c>
      <c r="F8" s="8">
        <v>0</v>
      </c>
      <c r="G8" s="12">
        <v>2</v>
      </c>
      <c r="H8" s="8">
        <v>0.17</v>
      </c>
      <c r="I8" s="12">
        <v>0</v>
      </c>
    </row>
    <row r="9" spans="2:9" ht="15" customHeight="1" x14ac:dyDescent="0.2">
      <c r="B9" t="s">
        <v>79</v>
      </c>
      <c r="C9" s="12">
        <v>16</v>
      </c>
      <c r="D9" s="8">
        <v>0.75</v>
      </c>
      <c r="E9" s="12">
        <v>1</v>
      </c>
      <c r="F9" s="8">
        <v>0.11</v>
      </c>
      <c r="G9" s="12">
        <v>15</v>
      </c>
      <c r="H9" s="8">
        <v>1.28</v>
      </c>
      <c r="I9" s="12">
        <v>0</v>
      </c>
    </row>
    <row r="10" spans="2:9" ht="15" customHeight="1" x14ac:dyDescent="0.2">
      <c r="B10" t="s">
        <v>80</v>
      </c>
      <c r="C10" s="12">
        <v>32</v>
      </c>
      <c r="D10" s="8">
        <v>1.5</v>
      </c>
      <c r="E10" s="12">
        <v>6</v>
      </c>
      <c r="F10" s="8">
        <v>0.63</v>
      </c>
      <c r="G10" s="12">
        <v>26</v>
      </c>
      <c r="H10" s="8">
        <v>2.2200000000000002</v>
      </c>
      <c r="I10" s="12">
        <v>0</v>
      </c>
    </row>
    <row r="11" spans="2:9" ht="15" customHeight="1" x14ac:dyDescent="0.2">
      <c r="B11" t="s">
        <v>81</v>
      </c>
      <c r="C11" s="12">
        <v>438</v>
      </c>
      <c r="D11" s="8">
        <v>20.56</v>
      </c>
      <c r="E11" s="12">
        <v>187</v>
      </c>
      <c r="F11" s="8">
        <v>19.64</v>
      </c>
      <c r="G11" s="12">
        <v>251</v>
      </c>
      <c r="H11" s="8">
        <v>21.43</v>
      </c>
      <c r="I11" s="12">
        <v>0</v>
      </c>
    </row>
    <row r="12" spans="2:9" ht="15" customHeight="1" x14ac:dyDescent="0.2">
      <c r="B12" t="s">
        <v>82</v>
      </c>
      <c r="C12" s="12">
        <v>8</v>
      </c>
      <c r="D12" s="8">
        <v>0.38</v>
      </c>
      <c r="E12" s="12">
        <v>2</v>
      </c>
      <c r="F12" s="8">
        <v>0.21</v>
      </c>
      <c r="G12" s="12">
        <v>6</v>
      </c>
      <c r="H12" s="8">
        <v>0.51</v>
      </c>
      <c r="I12" s="12">
        <v>0</v>
      </c>
    </row>
    <row r="13" spans="2:9" ht="15" customHeight="1" x14ac:dyDescent="0.2">
      <c r="B13" t="s">
        <v>83</v>
      </c>
      <c r="C13" s="12">
        <v>390</v>
      </c>
      <c r="D13" s="8">
        <v>18.309999999999999</v>
      </c>
      <c r="E13" s="12">
        <v>143</v>
      </c>
      <c r="F13" s="8">
        <v>15.02</v>
      </c>
      <c r="G13" s="12">
        <v>245</v>
      </c>
      <c r="H13" s="8">
        <v>20.92</v>
      </c>
      <c r="I13" s="12">
        <v>2</v>
      </c>
    </row>
    <row r="14" spans="2:9" ht="15" customHeight="1" x14ac:dyDescent="0.2">
      <c r="B14" t="s">
        <v>84</v>
      </c>
      <c r="C14" s="12">
        <v>45</v>
      </c>
      <c r="D14" s="8">
        <v>2.11</v>
      </c>
      <c r="E14" s="12">
        <v>24</v>
      </c>
      <c r="F14" s="8">
        <v>2.52</v>
      </c>
      <c r="G14" s="12">
        <v>21</v>
      </c>
      <c r="H14" s="8">
        <v>1.79</v>
      </c>
      <c r="I14" s="12">
        <v>0</v>
      </c>
    </row>
    <row r="15" spans="2:9" ht="15" customHeight="1" x14ac:dyDescent="0.2">
      <c r="B15" t="s">
        <v>85</v>
      </c>
      <c r="C15" s="12">
        <v>182</v>
      </c>
      <c r="D15" s="8">
        <v>8.5399999999999991</v>
      </c>
      <c r="E15" s="12">
        <v>154</v>
      </c>
      <c r="F15" s="8">
        <v>16.18</v>
      </c>
      <c r="G15" s="12">
        <v>28</v>
      </c>
      <c r="H15" s="8">
        <v>2.39</v>
      </c>
      <c r="I15" s="12">
        <v>0</v>
      </c>
    </row>
    <row r="16" spans="2:9" ht="15" customHeight="1" x14ac:dyDescent="0.2">
      <c r="B16" t="s">
        <v>86</v>
      </c>
      <c r="C16" s="12">
        <v>208</v>
      </c>
      <c r="D16" s="8">
        <v>9.77</v>
      </c>
      <c r="E16" s="12">
        <v>160</v>
      </c>
      <c r="F16" s="8">
        <v>16.809999999999999</v>
      </c>
      <c r="G16" s="12">
        <v>48</v>
      </c>
      <c r="H16" s="8">
        <v>4.0999999999999996</v>
      </c>
      <c r="I16" s="12">
        <v>0</v>
      </c>
    </row>
    <row r="17" spans="2:9" ht="15" customHeight="1" x14ac:dyDescent="0.2">
      <c r="B17" t="s">
        <v>87</v>
      </c>
      <c r="C17" s="12">
        <v>58</v>
      </c>
      <c r="D17" s="8">
        <v>2.72</v>
      </c>
      <c r="E17" s="12">
        <v>42</v>
      </c>
      <c r="F17" s="8">
        <v>4.41</v>
      </c>
      <c r="G17" s="12">
        <v>14</v>
      </c>
      <c r="H17" s="8">
        <v>1.2</v>
      </c>
      <c r="I17" s="12">
        <v>1</v>
      </c>
    </row>
    <row r="18" spans="2:9" ht="15" customHeight="1" x14ac:dyDescent="0.2">
      <c r="B18" t="s">
        <v>88</v>
      </c>
      <c r="C18" s="12">
        <v>92</v>
      </c>
      <c r="D18" s="8">
        <v>4.32</v>
      </c>
      <c r="E18" s="12">
        <v>58</v>
      </c>
      <c r="F18" s="8">
        <v>6.09</v>
      </c>
      <c r="G18" s="12">
        <v>31</v>
      </c>
      <c r="H18" s="8">
        <v>2.65</v>
      </c>
      <c r="I18" s="12">
        <v>3</v>
      </c>
    </row>
    <row r="19" spans="2:9" ht="15" customHeight="1" x14ac:dyDescent="0.2">
      <c r="B19" t="s">
        <v>89</v>
      </c>
      <c r="C19" s="12">
        <v>61</v>
      </c>
      <c r="D19" s="8">
        <v>2.86</v>
      </c>
      <c r="E19" s="12">
        <v>21</v>
      </c>
      <c r="F19" s="8">
        <v>2.21</v>
      </c>
      <c r="G19" s="12">
        <v>40</v>
      </c>
      <c r="H19" s="8">
        <v>3.42</v>
      </c>
      <c r="I19" s="12">
        <v>0</v>
      </c>
    </row>
    <row r="20" spans="2:9" ht="15" customHeight="1" x14ac:dyDescent="0.2">
      <c r="B20" s="9" t="s">
        <v>271</v>
      </c>
      <c r="C20" s="12">
        <f>SUM(LTBL_27124[総数／事業所数])</f>
        <v>2130</v>
      </c>
      <c r="E20" s="12">
        <f>SUBTOTAL(109,LTBL_27124[個人／事業所数])</f>
        <v>952</v>
      </c>
      <c r="G20" s="12">
        <f>SUBTOTAL(109,LTBL_27124[法人／事業所数])</f>
        <v>1171</v>
      </c>
      <c r="I20" s="12">
        <f>SUBTOTAL(109,LTBL_27124[法人以外の団体／事業所数])</f>
        <v>6</v>
      </c>
    </row>
    <row r="21" spans="2:9" ht="15" customHeight="1" x14ac:dyDescent="0.2">
      <c r="E21" s="11">
        <f>LTBL_27124[[#Totals],[個人／事業所数]]/LTBL_27124[[#Totals],[総数／事業所数]]</f>
        <v>0.44694835680751172</v>
      </c>
      <c r="G21" s="11">
        <f>LTBL_27124[[#Totals],[法人／事業所数]]/LTBL_27124[[#Totals],[総数／事業所数]]</f>
        <v>0.54976525821596245</v>
      </c>
      <c r="I21" s="11">
        <f>LTBL_27124[[#Totals],[法人以外の団体／事業所数]]/LTBL_27124[[#Totals],[総数／事業所数]]</f>
        <v>2.8169014084507044E-3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110</v>
      </c>
      <c r="C24" s="12">
        <v>346</v>
      </c>
      <c r="D24" s="8">
        <v>16.239999999999998</v>
      </c>
      <c r="E24" s="12">
        <v>137</v>
      </c>
      <c r="F24" s="8">
        <v>14.39</v>
      </c>
      <c r="G24" s="12">
        <v>207</v>
      </c>
      <c r="H24" s="8">
        <v>17.68</v>
      </c>
      <c r="I24" s="12">
        <v>2</v>
      </c>
    </row>
    <row r="25" spans="2:9" ht="15" customHeight="1" x14ac:dyDescent="0.2">
      <c r="B25" t="s">
        <v>114</v>
      </c>
      <c r="C25" s="12">
        <v>175</v>
      </c>
      <c r="D25" s="8">
        <v>8.2200000000000006</v>
      </c>
      <c r="E25" s="12">
        <v>147</v>
      </c>
      <c r="F25" s="8">
        <v>15.44</v>
      </c>
      <c r="G25" s="12">
        <v>28</v>
      </c>
      <c r="H25" s="8">
        <v>2.39</v>
      </c>
      <c r="I25" s="12">
        <v>0</v>
      </c>
    </row>
    <row r="26" spans="2:9" ht="15" customHeight="1" x14ac:dyDescent="0.2">
      <c r="B26" t="s">
        <v>113</v>
      </c>
      <c r="C26" s="12">
        <v>163</v>
      </c>
      <c r="D26" s="8">
        <v>7.65</v>
      </c>
      <c r="E26" s="12">
        <v>149</v>
      </c>
      <c r="F26" s="8">
        <v>15.65</v>
      </c>
      <c r="G26" s="12">
        <v>14</v>
      </c>
      <c r="H26" s="8">
        <v>1.2</v>
      </c>
      <c r="I26" s="12">
        <v>0</v>
      </c>
    </row>
    <row r="27" spans="2:9" ht="15" customHeight="1" x14ac:dyDescent="0.2">
      <c r="B27" t="s">
        <v>98</v>
      </c>
      <c r="C27" s="12">
        <v>114</v>
      </c>
      <c r="D27" s="8">
        <v>5.35</v>
      </c>
      <c r="E27" s="12">
        <v>17</v>
      </c>
      <c r="F27" s="8">
        <v>1.79</v>
      </c>
      <c r="G27" s="12">
        <v>97</v>
      </c>
      <c r="H27" s="8">
        <v>8.2799999999999994</v>
      </c>
      <c r="I27" s="12">
        <v>0</v>
      </c>
    </row>
    <row r="28" spans="2:9" ht="15" customHeight="1" x14ac:dyDescent="0.2">
      <c r="B28" t="s">
        <v>108</v>
      </c>
      <c r="C28" s="12">
        <v>112</v>
      </c>
      <c r="D28" s="8">
        <v>5.26</v>
      </c>
      <c r="E28" s="12">
        <v>64</v>
      </c>
      <c r="F28" s="8">
        <v>6.72</v>
      </c>
      <c r="G28" s="12">
        <v>48</v>
      </c>
      <c r="H28" s="8">
        <v>4.0999999999999996</v>
      </c>
      <c r="I28" s="12">
        <v>0</v>
      </c>
    </row>
    <row r="29" spans="2:9" ht="15" customHeight="1" x14ac:dyDescent="0.2">
      <c r="B29" t="s">
        <v>100</v>
      </c>
      <c r="C29" s="12">
        <v>91</v>
      </c>
      <c r="D29" s="8">
        <v>4.2699999999999996</v>
      </c>
      <c r="E29" s="12">
        <v>14</v>
      </c>
      <c r="F29" s="8">
        <v>1.47</v>
      </c>
      <c r="G29" s="12">
        <v>77</v>
      </c>
      <c r="H29" s="8">
        <v>6.58</v>
      </c>
      <c r="I29" s="12">
        <v>0</v>
      </c>
    </row>
    <row r="30" spans="2:9" ht="15" customHeight="1" x14ac:dyDescent="0.2">
      <c r="B30" t="s">
        <v>106</v>
      </c>
      <c r="C30" s="12">
        <v>78</v>
      </c>
      <c r="D30" s="8">
        <v>3.66</v>
      </c>
      <c r="E30" s="12">
        <v>62</v>
      </c>
      <c r="F30" s="8">
        <v>6.51</v>
      </c>
      <c r="G30" s="12">
        <v>16</v>
      </c>
      <c r="H30" s="8">
        <v>1.37</v>
      </c>
      <c r="I30" s="12">
        <v>0</v>
      </c>
    </row>
    <row r="31" spans="2:9" ht="15" customHeight="1" x14ac:dyDescent="0.2">
      <c r="B31" t="s">
        <v>116</v>
      </c>
      <c r="C31" s="12">
        <v>68</v>
      </c>
      <c r="D31" s="8">
        <v>3.19</v>
      </c>
      <c r="E31" s="12">
        <v>58</v>
      </c>
      <c r="F31" s="8">
        <v>6.09</v>
      </c>
      <c r="G31" s="12">
        <v>10</v>
      </c>
      <c r="H31" s="8">
        <v>0.85</v>
      </c>
      <c r="I31" s="12">
        <v>0</v>
      </c>
    </row>
    <row r="32" spans="2:9" ht="15" customHeight="1" x14ac:dyDescent="0.2">
      <c r="B32" t="s">
        <v>99</v>
      </c>
      <c r="C32" s="12">
        <v>61</v>
      </c>
      <c r="D32" s="8">
        <v>2.86</v>
      </c>
      <c r="E32" s="12">
        <v>15</v>
      </c>
      <c r="F32" s="8">
        <v>1.58</v>
      </c>
      <c r="G32" s="12">
        <v>46</v>
      </c>
      <c r="H32" s="8">
        <v>3.93</v>
      </c>
      <c r="I32" s="12">
        <v>0</v>
      </c>
    </row>
    <row r="33" spans="2:9" ht="15" customHeight="1" x14ac:dyDescent="0.2">
      <c r="B33" t="s">
        <v>101</v>
      </c>
      <c r="C33" s="12">
        <v>61</v>
      </c>
      <c r="D33" s="8">
        <v>2.86</v>
      </c>
      <c r="E33" s="12">
        <v>20</v>
      </c>
      <c r="F33" s="8">
        <v>2.1</v>
      </c>
      <c r="G33" s="12">
        <v>41</v>
      </c>
      <c r="H33" s="8">
        <v>3.5</v>
      </c>
      <c r="I33" s="12">
        <v>0</v>
      </c>
    </row>
    <row r="34" spans="2:9" ht="15" customHeight="1" x14ac:dyDescent="0.2">
      <c r="B34" t="s">
        <v>115</v>
      </c>
      <c r="C34" s="12">
        <v>58</v>
      </c>
      <c r="D34" s="8">
        <v>2.72</v>
      </c>
      <c r="E34" s="12">
        <v>42</v>
      </c>
      <c r="F34" s="8">
        <v>4.41</v>
      </c>
      <c r="G34" s="12">
        <v>14</v>
      </c>
      <c r="H34" s="8">
        <v>1.2</v>
      </c>
      <c r="I34" s="12">
        <v>1</v>
      </c>
    </row>
    <row r="35" spans="2:9" ht="15" customHeight="1" x14ac:dyDescent="0.2">
      <c r="B35" t="s">
        <v>107</v>
      </c>
      <c r="C35" s="12">
        <v>55</v>
      </c>
      <c r="D35" s="8">
        <v>2.58</v>
      </c>
      <c r="E35" s="12">
        <v>23</v>
      </c>
      <c r="F35" s="8">
        <v>2.42</v>
      </c>
      <c r="G35" s="12">
        <v>32</v>
      </c>
      <c r="H35" s="8">
        <v>2.73</v>
      </c>
      <c r="I35" s="12">
        <v>0</v>
      </c>
    </row>
    <row r="36" spans="2:9" ht="15" customHeight="1" x14ac:dyDescent="0.2">
      <c r="B36" t="s">
        <v>105</v>
      </c>
      <c r="C36" s="12">
        <v>47</v>
      </c>
      <c r="D36" s="8">
        <v>2.21</v>
      </c>
      <c r="E36" s="12">
        <v>15</v>
      </c>
      <c r="F36" s="8">
        <v>1.58</v>
      </c>
      <c r="G36" s="12">
        <v>32</v>
      </c>
      <c r="H36" s="8">
        <v>2.73</v>
      </c>
      <c r="I36" s="12">
        <v>0</v>
      </c>
    </row>
    <row r="37" spans="2:9" ht="15" customHeight="1" x14ac:dyDescent="0.2">
      <c r="B37" t="s">
        <v>102</v>
      </c>
      <c r="C37" s="12">
        <v>42</v>
      </c>
      <c r="D37" s="8">
        <v>1.97</v>
      </c>
      <c r="E37" s="12">
        <v>7</v>
      </c>
      <c r="F37" s="8">
        <v>0.74</v>
      </c>
      <c r="G37" s="12">
        <v>35</v>
      </c>
      <c r="H37" s="8">
        <v>2.99</v>
      </c>
      <c r="I37" s="12">
        <v>0</v>
      </c>
    </row>
    <row r="38" spans="2:9" ht="15" customHeight="1" x14ac:dyDescent="0.2">
      <c r="B38" t="s">
        <v>104</v>
      </c>
      <c r="C38" s="12">
        <v>39</v>
      </c>
      <c r="D38" s="8">
        <v>1.83</v>
      </c>
      <c r="E38" s="12">
        <v>7</v>
      </c>
      <c r="F38" s="8">
        <v>0.74</v>
      </c>
      <c r="G38" s="12">
        <v>32</v>
      </c>
      <c r="H38" s="8">
        <v>2.73</v>
      </c>
      <c r="I38" s="12">
        <v>0</v>
      </c>
    </row>
    <row r="39" spans="2:9" ht="15" customHeight="1" x14ac:dyDescent="0.2">
      <c r="B39" t="s">
        <v>120</v>
      </c>
      <c r="C39" s="12">
        <v>37</v>
      </c>
      <c r="D39" s="8">
        <v>1.74</v>
      </c>
      <c r="E39" s="12">
        <v>22</v>
      </c>
      <c r="F39" s="8">
        <v>2.31</v>
      </c>
      <c r="G39" s="12">
        <v>15</v>
      </c>
      <c r="H39" s="8">
        <v>1.28</v>
      </c>
      <c r="I39" s="12">
        <v>0</v>
      </c>
    </row>
    <row r="40" spans="2:9" ht="15" customHeight="1" x14ac:dyDescent="0.2">
      <c r="B40" t="s">
        <v>121</v>
      </c>
      <c r="C40" s="12">
        <v>36</v>
      </c>
      <c r="D40" s="8">
        <v>1.69</v>
      </c>
      <c r="E40" s="12">
        <v>7</v>
      </c>
      <c r="F40" s="8">
        <v>0.74</v>
      </c>
      <c r="G40" s="12">
        <v>29</v>
      </c>
      <c r="H40" s="8">
        <v>2.48</v>
      </c>
      <c r="I40" s="12">
        <v>0</v>
      </c>
    </row>
    <row r="41" spans="2:9" ht="15" customHeight="1" x14ac:dyDescent="0.2">
      <c r="B41" t="s">
        <v>127</v>
      </c>
      <c r="C41" s="12">
        <v>35</v>
      </c>
      <c r="D41" s="8">
        <v>1.64</v>
      </c>
      <c r="E41" s="12">
        <v>11</v>
      </c>
      <c r="F41" s="8">
        <v>1.1599999999999999</v>
      </c>
      <c r="G41" s="12">
        <v>24</v>
      </c>
      <c r="H41" s="8">
        <v>2.0499999999999998</v>
      </c>
      <c r="I41" s="12">
        <v>0</v>
      </c>
    </row>
    <row r="42" spans="2:9" ht="15" customHeight="1" x14ac:dyDescent="0.2">
      <c r="B42" t="s">
        <v>109</v>
      </c>
      <c r="C42" s="12">
        <v>31</v>
      </c>
      <c r="D42" s="8">
        <v>1.46</v>
      </c>
      <c r="E42" s="12">
        <v>5</v>
      </c>
      <c r="F42" s="8">
        <v>0.53</v>
      </c>
      <c r="G42" s="12">
        <v>26</v>
      </c>
      <c r="H42" s="8">
        <v>2.2200000000000002</v>
      </c>
      <c r="I42" s="12">
        <v>0</v>
      </c>
    </row>
    <row r="43" spans="2:9" ht="15" customHeight="1" x14ac:dyDescent="0.2">
      <c r="B43" t="s">
        <v>130</v>
      </c>
      <c r="C43" s="12">
        <v>30</v>
      </c>
      <c r="D43" s="8">
        <v>1.41</v>
      </c>
      <c r="E43" s="12">
        <v>13</v>
      </c>
      <c r="F43" s="8">
        <v>1.37</v>
      </c>
      <c r="G43" s="12">
        <v>17</v>
      </c>
      <c r="H43" s="8">
        <v>1.45</v>
      </c>
      <c r="I43" s="12">
        <v>0</v>
      </c>
    </row>
    <row r="46" spans="2:9" ht="33" customHeight="1" x14ac:dyDescent="0.2">
      <c r="B46" t="s">
        <v>273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160</v>
      </c>
      <c r="C47" s="12">
        <v>178</v>
      </c>
      <c r="D47" s="8">
        <v>8.36</v>
      </c>
      <c r="E47" s="12">
        <v>94</v>
      </c>
      <c r="F47" s="8">
        <v>9.8699999999999992</v>
      </c>
      <c r="G47" s="12">
        <v>84</v>
      </c>
      <c r="H47" s="8">
        <v>7.17</v>
      </c>
      <c r="I47" s="12">
        <v>0</v>
      </c>
    </row>
    <row r="48" spans="2:9" ht="15" customHeight="1" x14ac:dyDescent="0.2">
      <c r="B48" t="s">
        <v>169</v>
      </c>
      <c r="C48" s="12">
        <v>89</v>
      </c>
      <c r="D48" s="8">
        <v>4.18</v>
      </c>
      <c r="E48" s="12">
        <v>81</v>
      </c>
      <c r="F48" s="8">
        <v>8.51</v>
      </c>
      <c r="G48" s="12">
        <v>8</v>
      </c>
      <c r="H48" s="8">
        <v>0.68</v>
      </c>
      <c r="I48" s="12">
        <v>0</v>
      </c>
    </row>
    <row r="49" spans="2:9" ht="15" customHeight="1" x14ac:dyDescent="0.2">
      <c r="B49" t="s">
        <v>159</v>
      </c>
      <c r="C49" s="12">
        <v>60</v>
      </c>
      <c r="D49" s="8">
        <v>2.82</v>
      </c>
      <c r="E49" s="12">
        <v>9</v>
      </c>
      <c r="F49" s="8">
        <v>0.95</v>
      </c>
      <c r="G49" s="12">
        <v>51</v>
      </c>
      <c r="H49" s="8">
        <v>4.3600000000000003</v>
      </c>
      <c r="I49" s="12">
        <v>0</v>
      </c>
    </row>
    <row r="50" spans="2:9" ht="15" customHeight="1" x14ac:dyDescent="0.2">
      <c r="B50" t="s">
        <v>162</v>
      </c>
      <c r="C50" s="12">
        <v>58</v>
      </c>
      <c r="D50" s="8">
        <v>2.72</v>
      </c>
      <c r="E50" s="12">
        <v>2</v>
      </c>
      <c r="F50" s="8">
        <v>0.21</v>
      </c>
      <c r="G50" s="12">
        <v>54</v>
      </c>
      <c r="H50" s="8">
        <v>4.6100000000000003</v>
      </c>
      <c r="I50" s="12">
        <v>2</v>
      </c>
    </row>
    <row r="51" spans="2:9" ht="15" customHeight="1" x14ac:dyDescent="0.2">
      <c r="B51" t="s">
        <v>165</v>
      </c>
      <c r="C51" s="12">
        <v>54</v>
      </c>
      <c r="D51" s="8">
        <v>2.54</v>
      </c>
      <c r="E51" s="12">
        <v>52</v>
      </c>
      <c r="F51" s="8">
        <v>5.46</v>
      </c>
      <c r="G51" s="12">
        <v>2</v>
      </c>
      <c r="H51" s="8">
        <v>0.17</v>
      </c>
      <c r="I51" s="12">
        <v>0</v>
      </c>
    </row>
    <row r="52" spans="2:9" ht="15" customHeight="1" x14ac:dyDescent="0.2">
      <c r="B52" t="s">
        <v>161</v>
      </c>
      <c r="C52" s="12">
        <v>50</v>
      </c>
      <c r="D52" s="8">
        <v>2.35</v>
      </c>
      <c r="E52" s="12">
        <v>32</v>
      </c>
      <c r="F52" s="8">
        <v>3.36</v>
      </c>
      <c r="G52" s="12">
        <v>18</v>
      </c>
      <c r="H52" s="8">
        <v>1.54</v>
      </c>
      <c r="I52" s="12">
        <v>0</v>
      </c>
    </row>
    <row r="53" spans="2:9" ht="15" customHeight="1" x14ac:dyDescent="0.2">
      <c r="B53" t="s">
        <v>171</v>
      </c>
      <c r="C53" s="12">
        <v>47</v>
      </c>
      <c r="D53" s="8">
        <v>2.21</v>
      </c>
      <c r="E53" s="12">
        <v>41</v>
      </c>
      <c r="F53" s="8">
        <v>4.3099999999999996</v>
      </c>
      <c r="G53" s="12">
        <v>6</v>
      </c>
      <c r="H53" s="8">
        <v>0.51</v>
      </c>
      <c r="I53" s="12">
        <v>0</v>
      </c>
    </row>
    <row r="54" spans="2:9" ht="15" customHeight="1" x14ac:dyDescent="0.2">
      <c r="B54" t="s">
        <v>168</v>
      </c>
      <c r="C54" s="12">
        <v>45</v>
      </c>
      <c r="D54" s="8">
        <v>2.11</v>
      </c>
      <c r="E54" s="12">
        <v>43</v>
      </c>
      <c r="F54" s="8">
        <v>4.5199999999999996</v>
      </c>
      <c r="G54" s="12">
        <v>2</v>
      </c>
      <c r="H54" s="8">
        <v>0.17</v>
      </c>
      <c r="I54" s="12">
        <v>0</v>
      </c>
    </row>
    <row r="55" spans="2:9" ht="15" customHeight="1" x14ac:dyDescent="0.2">
      <c r="B55" t="s">
        <v>153</v>
      </c>
      <c r="C55" s="12">
        <v>41</v>
      </c>
      <c r="D55" s="8">
        <v>1.92</v>
      </c>
      <c r="E55" s="12">
        <v>7</v>
      </c>
      <c r="F55" s="8">
        <v>0.74</v>
      </c>
      <c r="G55" s="12">
        <v>34</v>
      </c>
      <c r="H55" s="8">
        <v>2.9</v>
      </c>
      <c r="I55" s="12">
        <v>0</v>
      </c>
    </row>
    <row r="56" spans="2:9" ht="15" customHeight="1" x14ac:dyDescent="0.2">
      <c r="B56" t="s">
        <v>152</v>
      </c>
      <c r="C56" s="12">
        <v>38</v>
      </c>
      <c r="D56" s="8">
        <v>1.78</v>
      </c>
      <c r="E56" s="12">
        <v>4</v>
      </c>
      <c r="F56" s="8">
        <v>0.42</v>
      </c>
      <c r="G56" s="12">
        <v>34</v>
      </c>
      <c r="H56" s="8">
        <v>2.9</v>
      </c>
      <c r="I56" s="12">
        <v>0</v>
      </c>
    </row>
    <row r="57" spans="2:9" ht="15" customHeight="1" x14ac:dyDescent="0.2">
      <c r="B57" t="s">
        <v>157</v>
      </c>
      <c r="C57" s="12">
        <v>38</v>
      </c>
      <c r="D57" s="8">
        <v>1.78</v>
      </c>
      <c r="E57" s="12">
        <v>30</v>
      </c>
      <c r="F57" s="8">
        <v>3.15</v>
      </c>
      <c r="G57" s="12">
        <v>8</v>
      </c>
      <c r="H57" s="8">
        <v>0.68</v>
      </c>
      <c r="I57" s="12">
        <v>0</v>
      </c>
    </row>
    <row r="58" spans="2:9" ht="15" customHeight="1" x14ac:dyDescent="0.2">
      <c r="B58" t="s">
        <v>167</v>
      </c>
      <c r="C58" s="12">
        <v>36</v>
      </c>
      <c r="D58" s="8">
        <v>1.69</v>
      </c>
      <c r="E58" s="12">
        <v>35</v>
      </c>
      <c r="F58" s="8">
        <v>3.68</v>
      </c>
      <c r="G58" s="12">
        <v>1</v>
      </c>
      <c r="H58" s="8">
        <v>0.09</v>
      </c>
      <c r="I58" s="12">
        <v>0</v>
      </c>
    </row>
    <row r="59" spans="2:9" ht="15" customHeight="1" x14ac:dyDescent="0.2">
      <c r="B59" t="s">
        <v>175</v>
      </c>
      <c r="C59" s="12">
        <v>32</v>
      </c>
      <c r="D59" s="8">
        <v>1.5</v>
      </c>
      <c r="E59" s="12">
        <v>7</v>
      </c>
      <c r="F59" s="8">
        <v>0.74</v>
      </c>
      <c r="G59" s="12">
        <v>25</v>
      </c>
      <c r="H59" s="8">
        <v>2.13</v>
      </c>
      <c r="I59" s="12">
        <v>0</v>
      </c>
    </row>
    <row r="60" spans="2:9" ht="15" customHeight="1" x14ac:dyDescent="0.2">
      <c r="B60" t="s">
        <v>176</v>
      </c>
      <c r="C60" s="12">
        <v>29</v>
      </c>
      <c r="D60" s="8">
        <v>1.36</v>
      </c>
      <c r="E60" s="12">
        <v>12</v>
      </c>
      <c r="F60" s="8">
        <v>1.26</v>
      </c>
      <c r="G60" s="12">
        <v>17</v>
      </c>
      <c r="H60" s="8">
        <v>1.45</v>
      </c>
      <c r="I60" s="12">
        <v>0</v>
      </c>
    </row>
    <row r="61" spans="2:9" ht="15" customHeight="1" x14ac:dyDescent="0.2">
      <c r="B61" t="s">
        <v>174</v>
      </c>
      <c r="C61" s="12">
        <v>28</v>
      </c>
      <c r="D61" s="8">
        <v>1.31</v>
      </c>
      <c r="E61" s="12">
        <v>6</v>
      </c>
      <c r="F61" s="8">
        <v>0.63</v>
      </c>
      <c r="G61" s="12">
        <v>22</v>
      </c>
      <c r="H61" s="8">
        <v>1.88</v>
      </c>
      <c r="I61" s="12">
        <v>0</v>
      </c>
    </row>
    <row r="62" spans="2:9" ht="15" customHeight="1" x14ac:dyDescent="0.2">
      <c r="B62" t="s">
        <v>156</v>
      </c>
      <c r="C62" s="12">
        <v>28</v>
      </c>
      <c r="D62" s="8">
        <v>1.31</v>
      </c>
      <c r="E62" s="12">
        <v>22</v>
      </c>
      <c r="F62" s="8">
        <v>2.31</v>
      </c>
      <c r="G62" s="12">
        <v>6</v>
      </c>
      <c r="H62" s="8">
        <v>0.51</v>
      </c>
      <c r="I62" s="12">
        <v>0</v>
      </c>
    </row>
    <row r="63" spans="2:9" ht="15" customHeight="1" x14ac:dyDescent="0.2">
      <c r="B63" t="s">
        <v>164</v>
      </c>
      <c r="C63" s="12">
        <v>28</v>
      </c>
      <c r="D63" s="8">
        <v>1.31</v>
      </c>
      <c r="E63" s="12">
        <v>24</v>
      </c>
      <c r="F63" s="8">
        <v>2.52</v>
      </c>
      <c r="G63" s="12">
        <v>4</v>
      </c>
      <c r="H63" s="8">
        <v>0.34</v>
      </c>
      <c r="I63" s="12">
        <v>0</v>
      </c>
    </row>
    <row r="64" spans="2:9" ht="15" customHeight="1" x14ac:dyDescent="0.2">
      <c r="B64" t="s">
        <v>199</v>
      </c>
      <c r="C64" s="12">
        <v>28</v>
      </c>
      <c r="D64" s="8">
        <v>1.31</v>
      </c>
      <c r="E64" s="12">
        <v>20</v>
      </c>
      <c r="F64" s="8">
        <v>2.1</v>
      </c>
      <c r="G64" s="12">
        <v>8</v>
      </c>
      <c r="H64" s="8">
        <v>0.68</v>
      </c>
      <c r="I64" s="12">
        <v>0</v>
      </c>
    </row>
    <row r="65" spans="2:9" ht="15" customHeight="1" x14ac:dyDescent="0.2">
      <c r="B65" t="s">
        <v>170</v>
      </c>
      <c r="C65" s="12">
        <v>27</v>
      </c>
      <c r="D65" s="8">
        <v>1.27</v>
      </c>
      <c r="E65" s="12">
        <v>22</v>
      </c>
      <c r="F65" s="8">
        <v>2.31</v>
      </c>
      <c r="G65" s="12">
        <v>4</v>
      </c>
      <c r="H65" s="8">
        <v>0.34</v>
      </c>
      <c r="I65" s="12">
        <v>1</v>
      </c>
    </row>
    <row r="66" spans="2:9" ht="15" customHeight="1" x14ac:dyDescent="0.2">
      <c r="B66" t="s">
        <v>154</v>
      </c>
      <c r="C66" s="12">
        <v>26</v>
      </c>
      <c r="D66" s="8">
        <v>1.22</v>
      </c>
      <c r="E66" s="12">
        <v>4</v>
      </c>
      <c r="F66" s="8">
        <v>0.42</v>
      </c>
      <c r="G66" s="12">
        <v>22</v>
      </c>
      <c r="H66" s="8">
        <v>1.88</v>
      </c>
      <c r="I66" s="12">
        <v>0</v>
      </c>
    </row>
    <row r="67" spans="2:9" ht="15" customHeight="1" x14ac:dyDescent="0.2">
      <c r="B67" t="s">
        <v>215</v>
      </c>
      <c r="C67" s="12">
        <v>26</v>
      </c>
      <c r="D67" s="8">
        <v>1.22</v>
      </c>
      <c r="E67" s="12">
        <v>7</v>
      </c>
      <c r="F67" s="8">
        <v>0.74</v>
      </c>
      <c r="G67" s="12">
        <v>19</v>
      </c>
      <c r="H67" s="8">
        <v>1.62</v>
      </c>
      <c r="I67" s="12">
        <v>0</v>
      </c>
    </row>
    <row r="68" spans="2:9" ht="15" customHeight="1" x14ac:dyDescent="0.2">
      <c r="B68" t="s">
        <v>158</v>
      </c>
      <c r="C68" s="12">
        <v>26</v>
      </c>
      <c r="D68" s="8">
        <v>1.22</v>
      </c>
      <c r="E68" s="12">
        <v>5</v>
      </c>
      <c r="F68" s="8">
        <v>0.53</v>
      </c>
      <c r="G68" s="12">
        <v>21</v>
      </c>
      <c r="H68" s="8">
        <v>1.79</v>
      </c>
      <c r="I68" s="12">
        <v>0</v>
      </c>
    </row>
    <row r="70" spans="2:9" ht="15" customHeight="1" x14ac:dyDescent="0.2">
      <c r="B70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BAB32-F9C7-47FB-9CB6-FD681FD16D1A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296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247</v>
      </c>
      <c r="D6" s="8">
        <v>10.119999999999999</v>
      </c>
      <c r="E6" s="12">
        <v>44</v>
      </c>
      <c r="F6" s="8">
        <v>3.84</v>
      </c>
      <c r="G6" s="12">
        <v>203</v>
      </c>
      <c r="H6" s="8">
        <v>15.71</v>
      </c>
      <c r="I6" s="12">
        <v>0</v>
      </c>
    </row>
    <row r="7" spans="2:9" ht="15" customHeight="1" x14ac:dyDescent="0.2">
      <c r="B7" t="s">
        <v>77</v>
      </c>
      <c r="C7" s="12">
        <v>233</v>
      </c>
      <c r="D7" s="8">
        <v>9.5500000000000007</v>
      </c>
      <c r="E7" s="12">
        <v>65</v>
      </c>
      <c r="F7" s="8">
        <v>5.67</v>
      </c>
      <c r="G7" s="12">
        <v>168</v>
      </c>
      <c r="H7" s="8">
        <v>13</v>
      </c>
      <c r="I7" s="12">
        <v>0</v>
      </c>
    </row>
    <row r="8" spans="2:9" ht="15" customHeight="1" x14ac:dyDescent="0.2">
      <c r="B8" t="s">
        <v>78</v>
      </c>
      <c r="C8" s="12">
        <v>3</v>
      </c>
      <c r="D8" s="8">
        <v>0.12</v>
      </c>
      <c r="E8" s="12">
        <v>0</v>
      </c>
      <c r="F8" s="8">
        <v>0</v>
      </c>
      <c r="G8" s="12">
        <v>3</v>
      </c>
      <c r="H8" s="8">
        <v>0.23</v>
      </c>
      <c r="I8" s="12">
        <v>0</v>
      </c>
    </row>
    <row r="9" spans="2:9" ht="15" customHeight="1" x14ac:dyDescent="0.2">
      <c r="B9" t="s">
        <v>79</v>
      </c>
      <c r="C9" s="12">
        <v>21</v>
      </c>
      <c r="D9" s="8">
        <v>0.86</v>
      </c>
      <c r="E9" s="12">
        <v>1</v>
      </c>
      <c r="F9" s="8">
        <v>0.09</v>
      </c>
      <c r="G9" s="12">
        <v>20</v>
      </c>
      <c r="H9" s="8">
        <v>1.55</v>
      </c>
      <c r="I9" s="12">
        <v>0</v>
      </c>
    </row>
    <row r="10" spans="2:9" ht="15" customHeight="1" x14ac:dyDescent="0.2">
      <c r="B10" t="s">
        <v>80</v>
      </c>
      <c r="C10" s="12">
        <v>136</v>
      </c>
      <c r="D10" s="8">
        <v>5.57</v>
      </c>
      <c r="E10" s="12">
        <v>14</v>
      </c>
      <c r="F10" s="8">
        <v>1.22</v>
      </c>
      <c r="G10" s="12">
        <v>122</v>
      </c>
      <c r="H10" s="8">
        <v>9.44</v>
      </c>
      <c r="I10" s="12">
        <v>0</v>
      </c>
    </row>
    <row r="11" spans="2:9" ht="15" customHeight="1" x14ac:dyDescent="0.2">
      <c r="B11" t="s">
        <v>81</v>
      </c>
      <c r="C11" s="12">
        <v>670</v>
      </c>
      <c r="D11" s="8">
        <v>27.46</v>
      </c>
      <c r="E11" s="12">
        <v>348</v>
      </c>
      <c r="F11" s="8">
        <v>30.37</v>
      </c>
      <c r="G11" s="12">
        <v>322</v>
      </c>
      <c r="H11" s="8">
        <v>24.92</v>
      </c>
      <c r="I11" s="12">
        <v>0</v>
      </c>
    </row>
    <row r="12" spans="2:9" ht="15" customHeight="1" x14ac:dyDescent="0.2">
      <c r="B12" t="s">
        <v>82</v>
      </c>
      <c r="C12" s="12">
        <v>9</v>
      </c>
      <c r="D12" s="8">
        <v>0.37</v>
      </c>
      <c r="E12" s="12">
        <v>1</v>
      </c>
      <c r="F12" s="8">
        <v>0.09</v>
      </c>
      <c r="G12" s="12">
        <v>8</v>
      </c>
      <c r="H12" s="8">
        <v>0.62</v>
      </c>
      <c r="I12" s="12">
        <v>0</v>
      </c>
    </row>
    <row r="13" spans="2:9" ht="15" customHeight="1" x14ac:dyDescent="0.2">
      <c r="B13" t="s">
        <v>83</v>
      </c>
      <c r="C13" s="12">
        <v>270</v>
      </c>
      <c r="D13" s="8">
        <v>11.07</v>
      </c>
      <c r="E13" s="12">
        <v>93</v>
      </c>
      <c r="F13" s="8">
        <v>8.1199999999999992</v>
      </c>
      <c r="G13" s="12">
        <v>177</v>
      </c>
      <c r="H13" s="8">
        <v>13.7</v>
      </c>
      <c r="I13" s="12">
        <v>0</v>
      </c>
    </row>
    <row r="14" spans="2:9" ht="15" customHeight="1" x14ac:dyDescent="0.2">
      <c r="B14" t="s">
        <v>84</v>
      </c>
      <c r="C14" s="12">
        <v>75</v>
      </c>
      <c r="D14" s="8">
        <v>3.07</v>
      </c>
      <c r="E14" s="12">
        <v>30</v>
      </c>
      <c r="F14" s="8">
        <v>2.62</v>
      </c>
      <c r="G14" s="12">
        <v>45</v>
      </c>
      <c r="H14" s="8">
        <v>3.48</v>
      </c>
      <c r="I14" s="12">
        <v>0</v>
      </c>
    </row>
    <row r="15" spans="2:9" ht="15" customHeight="1" x14ac:dyDescent="0.2">
      <c r="B15" t="s">
        <v>85</v>
      </c>
      <c r="C15" s="12">
        <v>267</v>
      </c>
      <c r="D15" s="8">
        <v>10.94</v>
      </c>
      <c r="E15" s="12">
        <v>231</v>
      </c>
      <c r="F15" s="8">
        <v>20.16</v>
      </c>
      <c r="G15" s="12">
        <v>36</v>
      </c>
      <c r="H15" s="8">
        <v>2.79</v>
      </c>
      <c r="I15" s="12">
        <v>0</v>
      </c>
    </row>
    <row r="16" spans="2:9" ht="15" customHeight="1" x14ac:dyDescent="0.2">
      <c r="B16" t="s">
        <v>86</v>
      </c>
      <c r="C16" s="12">
        <v>242</v>
      </c>
      <c r="D16" s="8">
        <v>9.92</v>
      </c>
      <c r="E16" s="12">
        <v>193</v>
      </c>
      <c r="F16" s="8">
        <v>16.84</v>
      </c>
      <c r="G16" s="12">
        <v>49</v>
      </c>
      <c r="H16" s="8">
        <v>3.79</v>
      </c>
      <c r="I16" s="12">
        <v>0</v>
      </c>
    </row>
    <row r="17" spans="2:9" ht="15" customHeight="1" x14ac:dyDescent="0.2">
      <c r="B17" t="s">
        <v>87</v>
      </c>
      <c r="C17" s="12">
        <v>36</v>
      </c>
      <c r="D17" s="8">
        <v>1.48</v>
      </c>
      <c r="E17" s="12">
        <v>23</v>
      </c>
      <c r="F17" s="8">
        <v>2.0099999999999998</v>
      </c>
      <c r="G17" s="12">
        <v>12</v>
      </c>
      <c r="H17" s="8">
        <v>0.93</v>
      </c>
      <c r="I17" s="12">
        <v>0</v>
      </c>
    </row>
    <row r="18" spans="2:9" ht="15" customHeight="1" x14ac:dyDescent="0.2">
      <c r="B18" t="s">
        <v>88</v>
      </c>
      <c r="C18" s="12">
        <v>139</v>
      </c>
      <c r="D18" s="8">
        <v>5.7</v>
      </c>
      <c r="E18" s="12">
        <v>80</v>
      </c>
      <c r="F18" s="8">
        <v>6.98</v>
      </c>
      <c r="G18" s="12">
        <v>58</v>
      </c>
      <c r="H18" s="8">
        <v>4.49</v>
      </c>
      <c r="I18" s="12">
        <v>1</v>
      </c>
    </row>
    <row r="19" spans="2:9" ht="15" customHeight="1" x14ac:dyDescent="0.2">
      <c r="B19" t="s">
        <v>89</v>
      </c>
      <c r="C19" s="12">
        <v>92</v>
      </c>
      <c r="D19" s="8">
        <v>3.77</v>
      </c>
      <c r="E19" s="12">
        <v>23</v>
      </c>
      <c r="F19" s="8">
        <v>2.0099999999999998</v>
      </c>
      <c r="G19" s="12">
        <v>69</v>
      </c>
      <c r="H19" s="8">
        <v>5.34</v>
      </c>
      <c r="I19" s="12">
        <v>0</v>
      </c>
    </row>
    <row r="20" spans="2:9" ht="15" customHeight="1" x14ac:dyDescent="0.2">
      <c r="B20" s="9" t="s">
        <v>271</v>
      </c>
      <c r="C20" s="12">
        <f>SUM(LTBL_27125[総数／事業所数])</f>
        <v>2440</v>
      </c>
      <c r="E20" s="12">
        <f>SUBTOTAL(109,LTBL_27125[個人／事業所数])</f>
        <v>1146</v>
      </c>
      <c r="G20" s="12">
        <f>SUBTOTAL(109,LTBL_27125[法人／事業所数])</f>
        <v>1292</v>
      </c>
      <c r="I20" s="12">
        <f>SUBTOTAL(109,LTBL_27125[法人以外の団体／事業所数])</f>
        <v>1</v>
      </c>
    </row>
    <row r="21" spans="2:9" ht="15" customHeight="1" x14ac:dyDescent="0.2">
      <c r="E21" s="11">
        <f>LTBL_27125[[#Totals],[個人／事業所数]]/LTBL_27125[[#Totals],[総数／事業所数]]</f>
        <v>0.46967213114754097</v>
      </c>
      <c r="G21" s="11">
        <f>LTBL_27125[[#Totals],[法人／事業所数]]/LTBL_27125[[#Totals],[総数／事業所数]]</f>
        <v>0.52950819672131144</v>
      </c>
      <c r="I21" s="11">
        <f>LTBL_27125[[#Totals],[法人以外の団体／事業所数]]/LTBL_27125[[#Totals],[総数／事業所数]]</f>
        <v>4.0983606557377049E-4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113</v>
      </c>
      <c r="C24" s="12">
        <v>238</v>
      </c>
      <c r="D24" s="8">
        <v>9.75</v>
      </c>
      <c r="E24" s="12">
        <v>217</v>
      </c>
      <c r="F24" s="8">
        <v>18.940000000000001</v>
      </c>
      <c r="G24" s="12">
        <v>21</v>
      </c>
      <c r="H24" s="8">
        <v>1.63</v>
      </c>
      <c r="I24" s="12">
        <v>0</v>
      </c>
    </row>
    <row r="25" spans="2:9" ht="15" customHeight="1" x14ac:dyDescent="0.2">
      <c r="B25" t="s">
        <v>110</v>
      </c>
      <c r="C25" s="12">
        <v>221</v>
      </c>
      <c r="D25" s="8">
        <v>9.06</v>
      </c>
      <c r="E25" s="12">
        <v>80</v>
      </c>
      <c r="F25" s="8">
        <v>6.98</v>
      </c>
      <c r="G25" s="12">
        <v>141</v>
      </c>
      <c r="H25" s="8">
        <v>10.91</v>
      </c>
      <c r="I25" s="12">
        <v>0</v>
      </c>
    </row>
    <row r="26" spans="2:9" ht="15" customHeight="1" x14ac:dyDescent="0.2">
      <c r="B26" t="s">
        <v>114</v>
      </c>
      <c r="C26" s="12">
        <v>193</v>
      </c>
      <c r="D26" s="8">
        <v>7.91</v>
      </c>
      <c r="E26" s="12">
        <v>166</v>
      </c>
      <c r="F26" s="8">
        <v>14.49</v>
      </c>
      <c r="G26" s="12">
        <v>27</v>
      </c>
      <c r="H26" s="8">
        <v>2.09</v>
      </c>
      <c r="I26" s="12">
        <v>0</v>
      </c>
    </row>
    <row r="27" spans="2:9" ht="15" customHeight="1" x14ac:dyDescent="0.2">
      <c r="B27" t="s">
        <v>108</v>
      </c>
      <c r="C27" s="12">
        <v>164</v>
      </c>
      <c r="D27" s="8">
        <v>6.72</v>
      </c>
      <c r="E27" s="12">
        <v>101</v>
      </c>
      <c r="F27" s="8">
        <v>8.81</v>
      </c>
      <c r="G27" s="12">
        <v>63</v>
      </c>
      <c r="H27" s="8">
        <v>4.88</v>
      </c>
      <c r="I27" s="12">
        <v>0</v>
      </c>
    </row>
    <row r="28" spans="2:9" ht="15" customHeight="1" x14ac:dyDescent="0.2">
      <c r="B28" t="s">
        <v>106</v>
      </c>
      <c r="C28" s="12">
        <v>147</v>
      </c>
      <c r="D28" s="8">
        <v>6.02</v>
      </c>
      <c r="E28" s="12">
        <v>123</v>
      </c>
      <c r="F28" s="8">
        <v>10.73</v>
      </c>
      <c r="G28" s="12">
        <v>24</v>
      </c>
      <c r="H28" s="8">
        <v>1.86</v>
      </c>
      <c r="I28" s="12">
        <v>0</v>
      </c>
    </row>
    <row r="29" spans="2:9" ht="15" customHeight="1" x14ac:dyDescent="0.2">
      <c r="B29" t="s">
        <v>116</v>
      </c>
      <c r="C29" s="12">
        <v>102</v>
      </c>
      <c r="D29" s="8">
        <v>4.18</v>
      </c>
      <c r="E29" s="12">
        <v>80</v>
      </c>
      <c r="F29" s="8">
        <v>6.98</v>
      </c>
      <c r="G29" s="12">
        <v>22</v>
      </c>
      <c r="H29" s="8">
        <v>1.7</v>
      </c>
      <c r="I29" s="12">
        <v>0</v>
      </c>
    </row>
    <row r="30" spans="2:9" ht="15" customHeight="1" x14ac:dyDescent="0.2">
      <c r="B30" t="s">
        <v>98</v>
      </c>
      <c r="C30" s="12">
        <v>89</v>
      </c>
      <c r="D30" s="8">
        <v>3.65</v>
      </c>
      <c r="E30" s="12">
        <v>13</v>
      </c>
      <c r="F30" s="8">
        <v>1.1299999999999999</v>
      </c>
      <c r="G30" s="12">
        <v>76</v>
      </c>
      <c r="H30" s="8">
        <v>5.88</v>
      </c>
      <c r="I30" s="12">
        <v>0</v>
      </c>
    </row>
    <row r="31" spans="2:9" ht="15" customHeight="1" x14ac:dyDescent="0.2">
      <c r="B31" t="s">
        <v>100</v>
      </c>
      <c r="C31" s="12">
        <v>83</v>
      </c>
      <c r="D31" s="8">
        <v>3.4</v>
      </c>
      <c r="E31" s="12">
        <v>12</v>
      </c>
      <c r="F31" s="8">
        <v>1.05</v>
      </c>
      <c r="G31" s="12">
        <v>71</v>
      </c>
      <c r="H31" s="8">
        <v>5.5</v>
      </c>
      <c r="I31" s="12">
        <v>0</v>
      </c>
    </row>
    <row r="32" spans="2:9" ht="15" customHeight="1" x14ac:dyDescent="0.2">
      <c r="B32" t="s">
        <v>105</v>
      </c>
      <c r="C32" s="12">
        <v>77</v>
      </c>
      <c r="D32" s="8">
        <v>3.16</v>
      </c>
      <c r="E32" s="12">
        <v>58</v>
      </c>
      <c r="F32" s="8">
        <v>5.0599999999999996</v>
      </c>
      <c r="G32" s="12">
        <v>19</v>
      </c>
      <c r="H32" s="8">
        <v>1.47</v>
      </c>
      <c r="I32" s="12">
        <v>0</v>
      </c>
    </row>
    <row r="33" spans="2:9" ht="15" customHeight="1" x14ac:dyDescent="0.2">
      <c r="B33" t="s">
        <v>99</v>
      </c>
      <c r="C33" s="12">
        <v>75</v>
      </c>
      <c r="D33" s="8">
        <v>3.07</v>
      </c>
      <c r="E33" s="12">
        <v>19</v>
      </c>
      <c r="F33" s="8">
        <v>1.66</v>
      </c>
      <c r="G33" s="12">
        <v>56</v>
      </c>
      <c r="H33" s="8">
        <v>4.33</v>
      </c>
      <c r="I33" s="12">
        <v>0</v>
      </c>
    </row>
    <row r="34" spans="2:9" ht="15" customHeight="1" x14ac:dyDescent="0.2">
      <c r="B34" t="s">
        <v>102</v>
      </c>
      <c r="C34" s="12">
        <v>71</v>
      </c>
      <c r="D34" s="8">
        <v>2.91</v>
      </c>
      <c r="E34" s="12">
        <v>13</v>
      </c>
      <c r="F34" s="8">
        <v>1.1299999999999999</v>
      </c>
      <c r="G34" s="12">
        <v>58</v>
      </c>
      <c r="H34" s="8">
        <v>4.49</v>
      </c>
      <c r="I34" s="12">
        <v>0</v>
      </c>
    </row>
    <row r="35" spans="2:9" ht="15" customHeight="1" x14ac:dyDescent="0.2">
      <c r="B35" t="s">
        <v>107</v>
      </c>
      <c r="C35" s="12">
        <v>69</v>
      </c>
      <c r="D35" s="8">
        <v>2.83</v>
      </c>
      <c r="E35" s="12">
        <v>39</v>
      </c>
      <c r="F35" s="8">
        <v>3.4</v>
      </c>
      <c r="G35" s="12">
        <v>30</v>
      </c>
      <c r="H35" s="8">
        <v>2.3199999999999998</v>
      </c>
      <c r="I35" s="12">
        <v>0</v>
      </c>
    </row>
    <row r="36" spans="2:9" ht="15" customHeight="1" x14ac:dyDescent="0.2">
      <c r="B36" t="s">
        <v>138</v>
      </c>
      <c r="C36" s="12">
        <v>50</v>
      </c>
      <c r="D36" s="8">
        <v>2.0499999999999998</v>
      </c>
      <c r="E36" s="12">
        <v>2</v>
      </c>
      <c r="F36" s="8">
        <v>0.17</v>
      </c>
      <c r="G36" s="12">
        <v>48</v>
      </c>
      <c r="H36" s="8">
        <v>3.72</v>
      </c>
      <c r="I36" s="12">
        <v>0</v>
      </c>
    </row>
    <row r="37" spans="2:9" ht="15" customHeight="1" x14ac:dyDescent="0.2">
      <c r="B37" t="s">
        <v>101</v>
      </c>
      <c r="C37" s="12">
        <v>45</v>
      </c>
      <c r="D37" s="8">
        <v>1.84</v>
      </c>
      <c r="E37" s="12">
        <v>12</v>
      </c>
      <c r="F37" s="8">
        <v>1.05</v>
      </c>
      <c r="G37" s="12">
        <v>33</v>
      </c>
      <c r="H37" s="8">
        <v>2.5499999999999998</v>
      </c>
      <c r="I37" s="12">
        <v>0</v>
      </c>
    </row>
    <row r="38" spans="2:9" ht="15" customHeight="1" x14ac:dyDescent="0.2">
      <c r="B38" t="s">
        <v>111</v>
      </c>
      <c r="C38" s="12">
        <v>45</v>
      </c>
      <c r="D38" s="8">
        <v>1.84</v>
      </c>
      <c r="E38" s="12">
        <v>20</v>
      </c>
      <c r="F38" s="8">
        <v>1.75</v>
      </c>
      <c r="G38" s="12">
        <v>25</v>
      </c>
      <c r="H38" s="8">
        <v>1.93</v>
      </c>
      <c r="I38" s="12">
        <v>0</v>
      </c>
    </row>
    <row r="39" spans="2:9" ht="15" customHeight="1" x14ac:dyDescent="0.2">
      <c r="B39" t="s">
        <v>123</v>
      </c>
      <c r="C39" s="12">
        <v>42</v>
      </c>
      <c r="D39" s="8">
        <v>1.72</v>
      </c>
      <c r="E39" s="12">
        <v>1</v>
      </c>
      <c r="F39" s="8">
        <v>0.09</v>
      </c>
      <c r="G39" s="12">
        <v>41</v>
      </c>
      <c r="H39" s="8">
        <v>3.17</v>
      </c>
      <c r="I39" s="12">
        <v>0</v>
      </c>
    </row>
    <row r="40" spans="2:9" ht="15" customHeight="1" x14ac:dyDescent="0.2">
      <c r="B40" t="s">
        <v>103</v>
      </c>
      <c r="C40" s="12">
        <v>39</v>
      </c>
      <c r="D40" s="8">
        <v>1.6</v>
      </c>
      <c r="E40" s="12">
        <v>3</v>
      </c>
      <c r="F40" s="8">
        <v>0.26</v>
      </c>
      <c r="G40" s="12">
        <v>36</v>
      </c>
      <c r="H40" s="8">
        <v>2.79</v>
      </c>
      <c r="I40" s="12">
        <v>0</v>
      </c>
    </row>
    <row r="41" spans="2:9" ht="15" customHeight="1" x14ac:dyDescent="0.2">
      <c r="B41" t="s">
        <v>109</v>
      </c>
      <c r="C41" s="12">
        <v>39</v>
      </c>
      <c r="D41" s="8">
        <v>1.6</v>
      </c>
      <c r="E41" s="12">
        <v>12</v>
      </c>
      <c r="F41" s="8">
        <v>1.05</v>
      </c>
      <c r="G41" s="12">
        <v>27</v>
      </c>
      <c r="H41" s="8">
        <v>2.09</v>
      </c>
      <c r="I41" s="12">
        <v>0</v>
      </c>
    </row>
    <row r="42" spans="2:9" ht="15" customHeight="1" x14ac:dyDescent="0.2">
      <c r="B42" t="s">
        <v>104</v>
      </c>
      <c r="C42" s="12">
        <v>38</v>
      </c>
      <c r="D42" s="8">
        <v>1.56</v>
      </c>
      <c r="E42" s="12">
        <v>7</v>
      </c>
      <c r="F42" s="8">
        <v>0.61</v>
      </c>
      <c r="G42" s="12">
        <v>31</v>
      </c>
      <c r="H42" s="8">
        <v>2.4</v>
      </c>
      <c r="I42" s="12">
        <v>0</v>
      </c>
    </row>
    <row r="43" spans="2:9" ht="15" customHeight="1" x14ac:dyDescent="0.2">
      <c r="B43" t="s">
        <v>117</v>
      </c>
      <c r="C43" s="12">
        <v>37</v>
      </c>
      <c r="D43" s="8">
        <v>1.52</v>
      </c>
      <c r="E43" s="12">
        <v>0</v>
      </c>
      <c r="F43" s="8">
        <v>0</v>
      </c>
      <c r="G43" s="12">
        <v>36</v>
      </c>
      <c r="H43" s="8">
        <v>2.79</v>
      </c>
      <c r="I43" s="12">
        <v>1</v>
      </c>
    </row>
    <row r="44" spans="2:9" ht="15" customHeight="1" x14ac:dyDescent="0.2">
      <c r="B44" t="s">
        <v>119</v>
      </c>
      <c r="C44" s="12">
        <v>37</v>
      </c>
      <c r="D44" s="8">
        <v>1.52</v>
      </c>
      <c r="E44" s="12">
        <v>2</v>
      </c>
      <c r="F44" s="8">
        <v>0.17</v>
      </c>
      <c r="G44" s="12">
        <v>35</v>
      </c>
      <c r="H44" s="8">
        <v>2.71</v>
      </c>
      <c r="I44" s="12">
        <v>0</v>
      </c>
    </row>
    <row r="47" spans="2:9" ht="33" customHeight="1" x14ac:dyDescent="0.2">
      <c r="B47" t="s">
        <v>273</v>
      </c>
      <c r="C47" s="10" t="s">
        <v>91</v>
      </c>
      <c r="D47" s="10" t="s">
        <v>92</v>
      </c>
      <c r="E47" s="10" t="s">
        <v>93</v>
      </c>
      <c r="F47" s="10" t="s">
        <v>94</v>
      </c>
      <c r="G47" s="10" t="s">
        <v>95</v>
      </c>
      <c r="H47" s="10" t="s">
        <v>96</v>
      </c>
      <c r="I47" s="10" t="s">
        <v>97</v>
      </c>
    </row>
    <row r="48" spans="2:9" ht="15" customHeight="1" x14ac:dyDescent="0.2">
      <c r="B48" t="s">
        <v>160</v>
      </c>
      <c r="C48" s="12">
        <v>129</v>
      </c>
      <c r="D48" s="8">
        <v>5.29</v>
      </c>
      <c r="E48" s="12">
        <v>57</v>
      </c>
      <c r="F48" s="8">
        <v>4.97</v>
      </c>
      <c r="G48" s="12">
        <v>72</v>
      </c>
      <c r="H48" s="8">
        <v>5.57</v>
      </c>
      <c r="I48" s="12">
        <v>0</v>
      </c>
    </row>
    <row r="49" spans="2:9" ht="15" customHeight="1" x14ac:dyDescent="0.2">
      <c r="B49" t="s">
        <v>169</v>
      </c>
      <c r="C49" s="12">
        <v>91</v>
      </c>
      <c r="D49" s="8">
        <v>3.73</v>
      </c>
      <c r="E49" s="12">
        <v>80</v>
      </c>
      <c r="F49" s="8">
        <v>6.98</v>
      </c>
      <c r="G49" s="12">
        <v>11</v>
      </c>
      <c r="H49" s="8">
        <v>0.85</v>
      </c>
      <c r="I49" s="12">
        <v>0</v>
      </c>
    </row>
    <row r="50" spans="2:9" ht="15" customHeight="1" x14ac:dyDescent="0.2">
      <c r="B50" t="s">
        <v>167</v>
      </c>
      <c r="C50" s="12">
        <v>72</v>
      </c>
      <c r="D50" s="8">
        <v>2.95</v>
      </c>
      <c r="E50" s="12">
        <v>70</v>
      </c>
      <c r="F50" s="8">
        <v>6.11</v>
      </c>
      <c r="G50" s="12">
        <v>2</v>
      </c>
      <c r="H50" s="8">
        <v>0.15</v>
      </c>
      <c r="I50" s="12">
        <v>0</v>
      </c>
    </row>
    <row r="51" spans="2:9" ht="15" customHeight="1" x14ac:dyDescent="0.2">
      <c r="B51" t="s">
        <v>171</v>
      </c>
      <c r="C51" s="12">
        <v>69</v>
      </c>
      <c r="D51" s="8">
        <v>2.83</v>
      </c>
      <c r="E51" s="12">
        <v>54</v>
      </c>
      <c r="F51" s="8">
        <v>4.71</v>
      </c>
      <c r="G51" s="12">
        <v>15</v>
      </c>
      <c r="H51" s="8">
        <v>1.1599999999999999</v>
      </c>
      <c r="I51" s="12">
        <v>0</v>
      </c>
    </row>
    <row r="52" spans="2:9" ht="15" customHeight="1" x14ac:dyDescent="0.2">
      <c r="B52" t="s">
        <v>168</v>
      </c>
      <c r="C52" s="12">
        <v>58</v>
      </c>
      <c r="D52" s="8">
        <v>2.38</v>
      </c>
      <c r="E52" s="12">
        <v>57</v>
      </c>
      <c r="F52" s="8">
        <v>4.97</v>
      </c>
      <c r="G52" s="12">
        <v>1</v>
      </c>
      <c r="H52" s="8">
        <v>0.08</v>
      </c>
      <c r="I52" s="12">
        <v>0</v>
      </c>
    </row>
    <row r="53" spans="2:9" ht="15" customHeight="1" x14ac:dyDescent="0.2">
      <c r="B53" t="s">
        <v>165</v>
      </c>
      <c r="C53" s="12">
        <v>57</v>
      </c>
      <c r="D53" s="8">
        <v>2.34</v>
      </c>
      <c r="E53" s="12">
        <v>50</v>
      </c>
      <c r="F53" s="8">
        <v>4.3600000000000003</v>
      </c>
      <c r="G53" s="12">
        <v>7</v>
      </c>
      <c r="H53" s="8">
        <v>0.54</v>
      </c>
      <c r="I53" s="12">
        <v>0</v>
      </c>
    </row>
    <row r="54" spans="2:9" ht="15" customHeight="1" x14ac:dyDescent="0.2">
      <c r="B54" t="s">
        <v>156</v>
      </c>
      <c r="C54" s="12">
        <v>51</v>
      </c>
      <c r="D54" s="8">
        <v>2.09</v>
      </c>
      <c r="E54" s="12">
        <v>40</v>
      </c>
      <c r="F54" s="8">
        <v>3.49</v>
      </c>
      <c r="G54" s="12">
        <v>11</v>
      </c>
      <c r="H54" s="8">
        <v>0.85</v>
      </c>
      <c r="I54" s="12">
        <v>0</v>
      </c>
    </row>
    <row r="55" spans="2:9" ht="15" customHeight="1" x14ac:dyDescent="0.2">
      <c r="B55" t="s">
        <v>157</v>
      </c>
      <c r="C55" s="12">
        <v>47</v>
      </c>
      <c r="D55" s="8">
        <v>1.93</v>
      </c>
      <c r="E55" s="12">
        <v>38</v>
      </c>
      <c r="F55" s="8">
        <v>3.32</v>
      </c>
      <c r="G55" s="12">
        <v>9</v>
      </c>
      <c r="H55" s="8">
        <v>0.7</v>
      </c>
      <c r="I55" s="12">
        <v>0</v>
      </c>
    </row>
    <row r="56" spans="2:9" ht="15" customHeight="1" x14ac:dyDescent="0.2">
      <c r="B56" t="s">
        <v>216</v>
      </c>
      <c r="C56" s="12">
        <v>44</v>
      </c>
      <c r="D56" s="8">
        <v>1.8</v>
      </c>
      <c r="E56" s="12">
        <v>2</v>
      </c>
      <c r="F56" s="8">
        <v>0.17</v>
      </c>
      <c r="G56" s="12">
        <v>42</v>
      </c>
      <c r="H56" s="8">
        <v>3.25</v>
      </c>
      <c r="I56" s="12">
        <v>0</v>
      </c>
    </row>
    <row r="57" spans="2:9" ht="15" customHeight="1" x14ac:dyDescent="0.2">
      <c r="B57" t="s">
        <v>155</v>
      </c>
      <c r="C57" s="12">
        <v>42</v>
      </c>
      <c r="D57" s="8">
        <v>1.72</v>
      </c>
      <c r="E57" s="12">
        <v>30</v>
      </c>
      <c r="F57" s="8">
        <v>2.62</v>
      </c>
      <c r="G57" s="12">
        <v>12</v>
      </c>
      <c r="H57" s="8">
        <v>0.93</v>
      </c>
      <c r="I57" s="12">
        <v>0</v>
      </c>
    </row>
    <row r="58" spans="2:9" ht="15" customHeight="1" x14ac:dyDescent="0.2">
      <c r="B58" t="s">
        <v>176</v>
      </c>
      <c r="C58" s="12">
        <v>42</v>
      </c>
      <c r="D58" s="8">
        <v>1.72</v>
      </c>
      <c r="E58" s="12">
        <v>15</v>
      </c>
      <c r="F58" s="8">
        <v>1.31</v>
      </c>
      <c r="G58" s="12">
        <v>27</v>
      </c>
      <c r="H58" s="8">
        <v>2.09</v>
      </c>
      <c r="I58" s="12">
        <v>0</v>
      </c>
    </row>
    <row r="59" spans="2:9" ht="15" customHeight="1" x14ac:dyDescent="0.2">
      <c r="B59" t="s">
        <v>164</v>
      </c>
      <c r="C59" s="12">
        <v>42</v>
      </c>
      <c r="D59" s="8">
        <v>1.72</v>
      </c>
      <c r="E59" s="12">
        <v>39</v>
      </c>
      <c r="F59" s="8">
        <v>3.4</v>
      </c>
      <c r="G59" s="12">
        <v>3</v>
      </c>
      <c r="H59" s="8">
        <v>0.23</v>
      </c>
      <c r="I59" s="12">
        <v>0</v>
      </c>
    </row>
    <row r="60" spans="2:9" ht="15" customHeight="1" x14ac:dyDescent="0.2">
      <c r="B60" t="s">
        <v>152</v>
      </c>
      <c r="C60" s="12">
        <v>37</v>
      </c>
      <c r="D60" s="8">
        <v>1.52</v>
      </c>
      <c r="E60" s="12">
        <v>4</v>
      </c>
      <c r="F60" s="8">
        <v>0.35</v>
      </c>
      <c r="G60" s="12">
        <v>33</v>
      </c>
      <c r="H60" s="8">
        <v>2.5499999999999998</v>
      </c>
      <c r="I60" s="12">
        <v>0</v>
      </c>
    </row>
    <row r="61" spans="2:9" ht="15" customHeight="1" x14ac:dyDescent="0.2">
      <c r="B61" t="s">
        <v>217</v>
      </c>
      <c r="C61" s="12">
        <v>36</v>
      </c>
      <c r="D61" s="8">
        <v>1.48</v>
      </c>
      <c r="E61" s="12">
        <v>8</v>
      </c>
      <c r="F61" s="8">
        <v>0.7</v>
      </c>
      <c r="G61" s="12">
        <v>28</v>
      </c>
      <c r="H61" s="8">
        <v>2.17</v>
      </c>
      <c r="I61" s="12">
        <v>0</v>
      </c>
    </row>
    <row r="62" spans="2:9" ht="15" customHeight="1" x14ac:dyDescent="0.2">
      <c r="B62" t="s">
        <v>159</v>
      </c>
      <c r="C62" s="12">
        <v>36</v>
      </c>
      <c r="D62" s="8">
        <v>1.48</v>
      </c>
      <c r="E62" s="12">
        <v>2</v>
      </c>
      <c r="F62" s="8">
        <v>0.17</v>
      </c>
      <c r="G62" s="12">
        <v>34</v>
      </c>
      <c r="H62" s="8">
        <v>2.63</v>
      </c>
      <c r="I62" s="12">
        <v>0</v>
      </c>
    </row>
    <row r="63" spans="2:9" ht="15" customHeight="1" x14ac:dyDescent="0.2">
      <c r="B63" t="s">
        <v>158</v>
      </c>
      <c r="C63" s="12">
        <v>34</v>
      </c>
      <c r="D63" s="8">
        <v>1.39</v>
      </c>
      <c r="E63" s="12">
        <v>12</v>
      </c>
      <c r="F63" s="8">
        <v>1.05</v>
      </c>
      <c r="G63" s="12">
        <v>22</v>
      </c>
      <c r="H63" s="8">
        <v>1.7</v>
      </c>
      <c r="I63" s="12">
        <v>0</v>
      </c>
    </row>
    <row r="64" spans="2:9" ht="15" customHeight="1" x14ac:dyDescent="0.2">
      <c r="B64" t="s">
        <v>161</v>
      </c>
      <c r="C64" s="12">
        <v>32</v>
      </c>
      <c r="D64" s="8">
        <v>1.31</v>
      </c>
      <c r="E64" s="12">
        <v>18</v>
      </c>
      <c r="F64" s="8">
        <v>1.57</v>
      </c>
      <c r="G64" s="12">
        <v>14</v>
      </c>
      <c r="H64" s="8">
        <v>1.08</v>
      </c>
      <c r="I64" s="12">
        <v>0</v>
      </c>
    </row>
    <row r="65" spans="2:9" ht="15" customHeight="1" x14ac:dyDescent="0.2">
      <c r="B65" t="s">
        <v>198</v>
      </c>
      <c r="C65" s="12">
        <v>31</v>
      </c>
      <c r="D65" s="8">
        <v>1.27</v>
      </c>
      <c r="E65" s="12">
        <v>16</v>
      </c>
      <c r="F65" s="8">
        <v>1.4</v>
      </c>
      <c r="G65" s="12">
        <v>15</v>
      </c>
      <c r="H65" s="8">
        <v>1.1599999999999999</v>
      </c>
      <c r="I65" s="12">
        <v>0</v>
      </c>
    </row>
    <row r="66" spans="2:9" ht="15" customHeight="1" x14ac:dyDescent="0.2">
      <c r="B66" t="s">
        <v>190</v>
      </c>
      <c r="C66" s="12">
        <v>30</v>
      </c>
      <c r="D66" s="8">
        <v>1.23</v>
      </c>
      <c r="E66" s="12">
        <v>4</v>
      </c>
      <c r="F66" s="8">
        <v>0.35</v>
      </c>
      <c r="G66" s="12">
        <v>26</v>
      </c>
      <c r="H66" s="8">
        <v>2.0099999999999998</v>
      </c>
      <c r="I66" s="12">
        <v>0</v>
      </c>
    </row>
    <row r="67" spans="2:9" ht="15" customHeight="1" x14ac:dyDescent="0.2">
      <c r="B67" t="s">
        <v>181</v>
      </c>
      <c r="C67" s="12">
        <v>30</v>
      </c>
      <c r="D67" s="8">
        <v>1.23</v>
      </c>
      <c r="E67" s="12">
        <v>26</v>
      </c>
      <c r="F67" s="8">
        <v>2.27</v>
      </c>
      <c r="G67" s="12">
        <v>4</v>
      </c>
      <c r="H67" s="8">
        <v>0.31</v>
      </c>
      <c r="I67" s="12">
        <v>0</v>
      </c>
    </row>
    <row r="69" spans="2:9" ht="15" customHeight="1" x14ac:dyDescent="0.2">
      <c r="B69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31C01-1B49-426E-97CB-F33C9C5A7393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297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492</v>
      </c>
      <c r="D6" s="8">
        <v>10.63</v>
      </c>
      <c r="E6" s="12">
        <v>93</v>
      </c>
      <c r="F6" s="8">
        <v>4.12</v>
      </c>
      <c r="G6" s="12">
        <v>398</v>
      </c>
      <c r="H6" s="8">
        <v>16.8</v>
      </c>
      <c r="I6" s="12">
        <v>1</v>
      </c>
    </row>
    <row r="7" spans="2:9" ht="15" customHeight="1" x14ac:dyDescent="0.2">
      <c r="B7" t="s">
        <v>77</v>
      </c>
      <c r="C7" s="12">
        <v>1177</v>
      </c>
      <c r="D7" s="8">
        <v>25.42</v>
      </c>
      <c r="E7" s="12">
        <v>498</v>
      </c>
      <c r="F7" s="8">
        <v>22.08</v>
      </c>
      <c r="G7" s="12">
        <v>679</v>
      </c>
      <c r="H7" s="8">
        <v>28.66</v>
      </c>
      <c r="I7" s="12">
        <v>0</v>
      </c>
    </row>
    <row r="8" spans="2:9" ht="15" customHeight="1" x14ac:dyDescent="0.2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79</v>
      </c>
      <c r="C9" s="12">
        <v>26</v>
      </c>
      <c r="D9" s="8">
        <v>0.56000000000000005</v>
      </c>
      <c r="E9" s="12">
        <v>1</v>
      </c>
      <c r="F9" s="8">
        <v>0.04</v>
      </c>
      <c r="G9" s="12">
        <v>25</v>
      </c>
      <c r="H9" s="8">
        <v>1.06</v>
      </c>
      <c r="I9" s="12">
        <v>0</v>
      </c>
    </row>
    <row r="10" spans="2:9" ht="15" customHeight="1" x14ac:dyDescent="0.2">
      <c r="B10" t="s">
        <v>80</v>
      </c>
      <c r="C10" s="12">
        <v>38</v>
      </c>
      <c r="D10" s="8">
        <v>0.82</v>
      </c>
      <c r="E10" s="12">
        <v>13</v>
      </c>
      <c r="F10" s="8">
        <v>0.57999999999999996</v>
      </c>
      <c r="G10" s="12">
        <v>25</v>
      </c>
      <c r="H10" s="8">
        <v>1.06</v>
      </c>
      <c r="I10" s="12">
        <v>0</v>
      </c>
    </row>
    <row r="11" spans="2:9" ht="15" customHeight="1" x14ac:dyDescent="0.2">
      <c r="B11" t="s">
        <v>81</v>
      </c>
      <c r="C11" s="12">
        <v>876</v>
      </c>
      <c r="D11" s="8">
        <v>18.920000000000002</v>
      </c>
      <c r="E11" s="12">
        <v>494</v>
      </c>
      <c r="F11" s="8">
        <v>21.91</v>
      </c>
      <c r="G11" s="12">
        <v>381</v>
      </c>
      <c r="H11" s="8">
        <v>16.079999999999998</v>
      </c>
      <c r="I11" s="12">
        <v>1</v>
      </c>
    </row>
    <row r="12" spans="2:9" ht="15" customHeight="1" x14ac:dyDescent="0.2">
      <c r="B12" t="s">
        <v>82</v>
      </c>
      <c r="C12" s="12">
        <v>8</v>
      </c>
      <c r="D12" s="8">
        <v>0.17</v>
      </c>
      <c r="E12" s="12">
        <v>0</v>
      </c>
      <c r="F12" s="8">
        <v>0</v>
      </c>
      <c r="G12" s="12">
        <v>8</v>
      </c>
      <c r="H12" s="8">
        <v>0.34</v>
      </c>
      <c r="I12" s="12">
        <v>0</v>
      </c>
    </row>
    <row r="13" spans="2:9" ht="15" customHeight="1" x14ac:dyDescent="0.2">
      <c r="B13" t="s">
        <v>83</v>
      </c>
      <c r="C13" s="12">
        <v>616</v>
      </c>
      <c r="D13" s="8">
        <v>13.3</v>
      </c>
      <c r="E13" s="12">
        <v>125</v>
      </c>
      <c r="F13" s="8">
        <v>5.54</v>
      </c>
      <c r="G13" s="12">
        <v>490</v>
      </c>
      <c r="H13" s="8">
        <v>20.68</v>
      </c>
      <c r="I13" s="12">
        <v>1</v>
      </c>
    </row>
    <row r="14" spans="2:9" ht="15" customHeight="1" x14ac:dyDescent="0.2">
      <c r="B14" t="s">
        <v>84</v>
      </c>
      <c r="C14" s="12">
        <v>111</v>
      </c>
      <c r="D14" s="8">
        <v>2.4</v>
      </c>
      <c r="E14" s="12">
        <v>49</v>
      </c>
      <c r="F14" s="8">
        <v>2.17</v>
      </c>
      <c r="G14" s="12">
        <v>62</v>
      </c>
      <c r="H14" s="8">
        <v>2.62</v>
      </c>
      <c r="I14" s="12">
        <v>0</v>
      </c>
    </row>
    <row r="15" spans="2:9" ht="15" customHeight="1" x14ac:dyDescent="0.2">
      <c r="B15" t="s">
        <v>85</v>
      </c>
      <c r="C15" s="12">
        <v>463</v>
      </c>
      <c r="D15" s="8">
        <v>10</v>
      </c>
      <c r="E15" s="12">
        <v>420</v>
      </c>
      <c r="F15" s="8">
        <v>18.63</v>
      </c>
      <c r="G15" s="12">
        <v>43</v>
      </c>
      <c r="H15" s="8">
        <v>1.82</v>
      </c>
      <c r="I15" s="12">
        <v>0</v>
      </c>
    </row>
    <row r="16" spans="2:9" ht="15" customHeight="1" x14ac:dyDescent="0.2">
      <c r="B16" t="s">
        <v>86</v>
      </c>
      <c r="C16" s="12">
        <v>355</v>
      </c>
      <c r="D16" s="8">
        <v>7.67</v>
      </c>
      <c r="E16" s="12">
        <v>286</v>
      </c>
      <c r="F16" s="8">
        <v>12.68</v>
      </c>
      <c r="G16" s="12">
        <v>69</v>
      </c>
      <c r="H16" s="8">
        <v>2.91</v>
      </c>
      <c r="I16" s="12">
        <v>0</v>
      </c>
    </row>
    <row r="17" spans="2:9" ht="15" customHeight="1" x14ac:dyDescent="0.2">
      <c r="B17" t="s">
        <v>87</v>
      </c>
      <c r="C17" s="12">
        <v>77</v>
      </c>
      <c r="D17" s="8">
        <v>1.66</v>
      </c>
      <c r="E17" s="12">
        <v>54</v>
      </c>
      <c r="F17" s="8">
        <v>2.39</v>
      </c>
      <c r="G17" s="12">
        <v>22</v>
      </c>
      <c r="H17" s="8">
        <v>0.93</v>
      </c>
      <c r="I17" s="12">
        <v>0</v>
      </c>
    </row>
    <row r="18" spans="2:9" ht="15" customHeight="1" x14ac:dyDescent="0.2">
      <c r="B18" t="s">
        <v>88</v>
      </c>
      <c r="C18" s="12">
        <v>275</v>
      </c>
      <c r="D18" s="8">
        <v>5.94</v>
      </c>
      <c r="E18" s="12">
        <v>175</v>
      </c>
      <c r="F18" s="8">
        <v>7.76</v>
      </c>
      <c r="G18" s="12">
        <v>99</v>
      </c>
      <c r="H18" s="8">
        <v>4.18</v>
      </c>
      <c r="I18" s="12">
        <v>1</v>
      </c>
    </row>
    <row r="19" spans="2:9" ht="15" customHeight="1" x14ac:dyDescent="0.2">
      <c r="B19" t="s">
        <v>89</v>
      </c>
      <c r="C19" s="12">
        <v>116</v>
      </c>
      <c r="D19" s="8">
        <v>2.5099999999999998</v>
      </c>
      <c r="E19" s="12">
        <v>47</v>
      </c>
      <c r="F19" s="8">
        <v>2.08</v>
      </c>
      <c r="G19" s="12">
        <v>68</v>
      </c>
      <c r="H19" s="8">
        <v>2.87</v>
      </c>
      <c r="I19" s="12">
        <v>1</v>
      </c>
    </row>
    <row r="20" spans="2:9" ht="15" customHeight="1" x14ac:dyDescent="0.2">
      <c r="B20" s="9" t="s">
        <v>271</v>
      </c>
      <c r="C20" s="12">
        <f>SUM(LTBL_27126[総数／事業所数])</f>
        <v>4630</v>
      </c>
      <c r="E20" s="12">
        <f>SUBTOTAL(109,LTBL_27126[個人／事業所数])</f>
        <v>2255</v>
      </c>
      <c r="G20" s="12">
        <f>SUBTOTAL(109,LTBL_27126[法人／事業所数])</f>
        <v>2369</v>
      </c>
      <c r="I20" s="12">
        <f>SUBTOTAL(109,LTBL_27126[法人以外の団体／事業所数])</f>
        <v>5</v>
      </c>
    </row>
    <row r="21" spans="2:9" ht="15" customHeight="1" x14ac:dyDescent="0.2">
      <c r="E21" s="11">
        <f>LTBL_27126[[#Totals],[個人／事業所数]]/LTBL_27126[[#Totals],[総数／事業所数]]</f>
        <v>0.48704103671706261</v>
      </c>
      <c r="G21" s="11">
        <f>LTBL_27126[[#Totals],[法人／事業所数]]/LTBL_27126[[#Totals],[総数／事業所数]]</f>
        <v>0.51166306695464359</v>
      </c>
      <c r="I21" s="11">
        <f>LTBL_27126[[#Totals],[法人以外の団体／事業所数]]/LTBL_27126[[#Totals],[総数／事業所数]]</f>
        <v>1.0799136069114472E-3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110</v>
      </c>
      <c r="C24" s="12">
        <v>532</v>
      </c>
      <c r="D24" s="8">
        <v>11.49</v>
      </c>
      <c r="E24" s="12">
        <v>111</v>
      </c>
      <c r="F24" s="8">
        <v>4.92</v>
      </c>
      <c r="G24" s="12">
        <v>420</v>
      </c>
      <c r="H24" s="8">
        <v>17.73</v>
      </c>
      <c r="I24" s="12">
        <v>1</v>
      </c>
    </row>
    <row r="25" spans="2:9" ht="15" customHeight="1" x14ac:dyDescent="0.2">
      <c r="B25" t="s">
        <v>113</v>
      </c>
      <c r="C25" s="12">
        <v>434</v>
      </c>
      <c r="D25" s="8">
        <v>9.3699999999999992</v>
      </c>
      <c r="E25" s="12">
        <v>410</v>
      </c>
      <c r="F25" s="8">
        <v>18.18</v>
      </c>
      <c r="G25" s="12">
        <v>24</v>
      </c>
      <c r="H25" s="8">
        <v>1.01</v>
      </c>
      <c r="I25" s="12">
        <v>0</v>
      </c>
    </row>
    <row r="26" spans="2:9" ht="15" customHeight="1" x14ac:dyDescent="0.2">
      <c r="B26" t="s">
        <v>101</v>
      </c>
      <c r="C26" s="12">
        <v>322</v>
      </c>
      <c r="D26" s="8">
        <v>6.95</v>
      </c>
      <c r="E26" s="12">
        <v>146</v>
      </c>
      <c r="F26" s="8">
        <v>6.47</v>
      </c>
      <c r="G26" s="12">
        <v>176</v>
      </c>
      <c r="H26" s="8">
        <v>7.43</v>
      </c>
      <c r="I26" s="12">
        <v>0</v>
      </c>
    </row>
    <row r="27" spans="2:9" ht="15" customHeight="1" x14ac:dyDescent="0.2">
      <c r="B27" t="s">
        <v>114</v>
      </c>
      <c r="C27" s="12">
        <v>293</v>
      </c>
      <c r="D27" s="8">
        <v>6.33</v>
      </c>
      <c r="E27" s="12">
        <v>254</v>
      </c>
      <c r="F27" s="8">
        <v>11.26</v>
      </c>
      <c r="G27" s="12">
        <v>39</v>
      </c>
      <c r="H27" s="8">
        <v>1.65</v>
      </c>
      <c r="I27" s="12">
        <v>0</v>
      </c>
    </row>
    <row r="28" spans="2:9" ht="15" customHeight="1" x14ac:dyDescent="0.2">
      <c r="B28" t="s">
        <v>108</v>
      </c>
      <c r="C28" s="12">
        <v>228</v>
      </c>
      <c r="D28" s="8">
        <v>4.92</v>
      </c>
      <c r="E28" s="12">
        <v>149</v>
      </c>
      <c r="F28" s="8">
        <v>6.61</v>
      </c>
      <c r="G28" s="12">
        <v>79</v>
      </c>
      <c r="H28" s="8">
        <v>3.33</v>
      </c>
      <c r="I28" s="12">
        <v>0</v>
      </c>
    </row>
    <row r="29" spans="2:9" ht="15" customHeight="1" x14ac:dyDescent="0.2">
      <c r="B29" t="s">
        <v>116</v>
      </c>
      <c r="C29" s="12">
        <v>199</v>
      </c>
      <c r="D29" s="8">
        <v>4.3</v>
      </c>
      <c r="E29" s="12">
        <v>173</v>
      </c>
      <c r="F29" s="8">
        <v>7.67</v>
      </c>
      <c r="G29" s="12">
        <v>26</v>
      </c>
      <c r="H29" s="8">
        <v>1.1000000000000001</v>
      </c>
      <c r="I29" s="12">
        <v>0</v>
      </c>
    </row>
    <row r="30" spans="2:9" ht="15" customHeight="1" x14ac:dyDescent="0.2">
      <c r="B30" t="s">
        <v>106</v>
      </c>
      <c r="C30" s="12">
        <v>175</v>
      </c>
      <c r="D30" s="8">
        <v>3.78</v>
      </c>
      <c r="E30" s="12">
        <v>148</v>
      </c>
      <c r="F30" s="8">
        <v>6.56</v>
      </c>
      <c r="G30" s="12">
        <v>27</v>
      </c>
      <c r="H30" s="8">
        <v>1.1399999999999999</v>
      </c>
      <c r="I30" s="12">
        <v>0</v>
      </c>
    </row>
    <row r="31" spans="2:9" ht="15" customHeight="1" x14ac:dyDescent="0.2">
      <c r="B31" t="s">
        <v>99</v>
      </c>
      <c r="C31" s="12">
        <v>172</v>
      </c>
      <c r="D31" s="8">
        <v>3.71</v>
      </c>
      <c r="E31" s="12">
        <v>36</v>
      </c>
      <c r="F31" s="8">
        <v>1.6</v>
      </c>
      <c r="G31" s="12">
        <v>136</v>
      </c>
      <c r="H31" s="8">
        <v>5.74</v>
      </c>
      <c r="I31" s="12">
        <v>0</v>
      </c>
    </row>
    <row r="32" spans="2:9" ht="15" customHeight="1" x14ac:dyDescent="0.2">
      <c r="B32" t="s">
        <v>100</v>
      </c>
      <c r="C32" s="12">
        <v>165</v>
      </c>
      <c r="D32" s="8">
        <v>3.56</v>
      </c>
      <c r="E32" s="12">
        <v>31</v>
      </c>
      <c r="F32" s="8">
        <v>1.37</v>
      </c>
      <c r="G32" s="12">
        <v>133</v>
      </c>
      <c r="H32" s="8">
        <v>5.61</v>
      </c>
      <c r="I32" s="12">
        <v>1</v>
      </c>
    </row>
    <row r="33" spans="2:9" ht="15" customHeight="1" x14ac:dyDescent="0.2">
      <c r="B33" t="s">
        <v>98</v>
      </c>
      <c r="C33" s="12">
        <v>155</v>
      </c>
      <c r="D33" s="8">
        <v>3.35</v>
      </c>
      <c r="E33" s="12">
        <v>26</v>
      </c>
      <c r="F33" s="8">
        <v>1.1499999999999999</v>
      </c>
      <c r="G33" s="12">
        <v>129</v>
      </c>
      <c r="H33" s="8">
        <v>5.45</v>
      </c>
      <c r="I33" s="12">
        <v>0</v>
      </c>
    </row>
    <row r="34" spans="2:9" ht="15" customHeight="1" x14ac:dyDescent="0.2">
      <c r="B34" t="s">
        <v>132</v>
      </c>
      <c r="C34" s="12">
        <v>113</v>
      </c>
      <c r="D34" s="8">
        <v>2.44</v>
      </c>
      <c r="E34" s="12">
        <v>53</v>
      </c>
      <c r="F34" s="8">
        <v>2.35</v>
      </c>
      <c r="G34" s="12">
        <v>60</v>
      </c>
      <c r="H34" s="8">
        <v>2.5299999999999998</v>
      </c>
      <c r="I34" s="12">
        <v>0</v>
      </c>
    </row>
    <row r="35" spans="2:9" ht="15" customHeight="1" x14ac:dyDescent="0.2">
      <c r="B35" t="s">
        <v>107</v>
      </c>
      <c r="C35" s="12">
        <v>110</v>
      </c>
      <c r="D35" s="8">
        <v>2.38</v>
      </c>
      <c r="E35" s="12">
        <v>73</v>
      </c>
      <c r="F35" s="8">
        <v>3.24</v>
      </c>
      <c r="G35" s="12">
        <v>37</v>
      </c>
      <c r="H35" s="8">
        <v>1.56</v>
      </c>
      <c r="I35" s="12">
        <v>0</v>
      </c>
    </row>
    <row r="36" spans="2:9" ht="15" customHeight="1" x14ac:dyDescent="0.2">
      <c r="B36" t="s">
        <v>127</v>
      </c>
      <c r="C36" s="12">
        <v>106</v>
      </c>
      <c r="D36" s="8">
        <v>2.29</v>
      </c>
      <c r="E36" s="12">
        <v>36</v>
      </c>
      <c r="F36" s="8">
        <v>1.6</v>
      </c>
      <c r="G36" s="12">
        <v>70</v>
      </c>
      <c r="H36" s="8">
        <v>2.95</v>
      </c>
      <c r="I36" s="12">
        <v>0</v>
      </c>
    </row>
    <row r="37" spans="2:9" ht="15" customHeight="1" x14ac:dyDescent="0.2">
      <c r="B37" t="s">
        <v>134</v>
      </c>
      <c r="C37" s="12">
        <v>84</v>
      </c>
      <c r="D37" s="8">
        <v>1.81</v>
      </c>
      <c r="E37" s="12">
        <v>33</v>
      </c>
      <c r="F37" s="8">
        <v>1.46</v>
      </c>
      <c r="G37" s="12">
        <v>51</v>
      </c>
      <c r="H37" s="8">
        <v>2.15</v>
      </c>
      <c r="I37" s="12">
        <v>0</v>
      </c>
    </row>
    <row r="38" spans="2:9" ht="15" customHeight="1" x14ac:dyDescent="0.2">
      <c r="B38" t="s">
        <v>105</v>
      </c>
      <c r="C38" s="12">
        <v>83</v>
      </c>
      <c r="D38" s="8">
        <v>1.79</v>
      </c>
      <c r="E38" s="12">
        <v>57</v>
      </c>
      <c r="F38" s="8">
        <v>2.5299999999999998</v>
      </c>
      <c r="G38" s="12">
        <v>25</v>
      </c>
      <c r="H38" s="8">
        <v>1.06</v>
      </c>
      <c r="I38" s="12">
        <v>1</v>
      </c>
    </row>
    <row r="39" spans="2:9" ht="15" customHeight="1" x14ac:dyDescent="0.2">
      <c r="B39" t="s">
        <v>121</v>
      </c>
      <c r="C39" s="12">
        <v>81</v>
      </c>
      <c r="D39" s="8">
        <v>1.75</v>
      </c>
      <c r="E39" s="12">
        <v>38</v>
      </c>
      <c r="F39" s="8">
        <v>1.69</v>
      </c>
      <c r="G39" s="12">
        <v>43</v>
      </c>
      <c r="H39" s="8">
        <v>1.82</v>
      </c>
      <c r="I39" s="12">
        <v>0</v>
      </c>
    </row>
    <row r="40" spans="2:9" ht="15" customHeight="1" x14ac:dyDescent="0.2">
      <c r="B40" t="s">
        <v>115</v>
      </c>
      <c r="C40" s="12">
        <v>77</v>
      </c>
      <c r="D40" s="8">
        <v>1.66</v>
      </c>
      <c r="E40" s="12">
        <v>54</v>
      </c>
      <c r="F40" s="8">
        <v>2.39</v>
      </c>
      <c r="G40" s="12">
        <v>22</v>
      </c>
      <c r="H40" s="8">
        <v>0.93</v>
      </c>
      <c r="I40" s="12">
        <v>0</v>
      </c>
    </row>
    <row r="41" spans="2:9" ht="15" customHeight="1" x14ac:dyDescent="0.2">
      <c r="B41" t="s">
        <v>117</v>
      </c>
      <c r="C41" s="12">
        <v>76</v>
      </c>
      <c r="D41" s="8">
        <v>1.64</v>
      </c>
      <c r="E41" s="12">
        <v>2</v>
      </c>
      <c r="F41" s="8">
        <v>0.09</v>
      </c>
      <c r="G41" s="12">
        <v>73</v>
      </c>
      <c r="H41" s="8">
        <v>3.08</v>
      </c>
      <c r="I41" s="12">
        <v>1</v>
      </c>
    </row>
    <row r="42" spans="2:9" ht="15" customHeight="1" x14ac:dyDescent="0.2">
      <c r="B42" t="s">
        <v>109</v>
      </c>
      <c r="C42" s="12">
        <v>74</v>
      </c>
      <c r="D42" s="8">
        <v>1.6</v>
      </c>
      <c r="E42" s="12">
        <v>14</v>
      </c>
      <c r="F42" s="8">
        <v>0.62</v>
      </c>
      <c r="G42" s="12">
        <v>60</v>
      </c>
      <c r="H42" s="8">
        <v>2.5299999999999998</v>
      </c>
      <c r="I42" s="12">
        <v>0</v>
      </c>
    </row>
    <row r="43" spans="2:9" ht="15" customHeight="1" x14ac:dyDescent="0.2">
      <c r="B43" t="s">
        <v>103</v>
      </c>
      <c r="C43" s="12">
        <v>72</v>
      </c>
      <c r="D43" s="8">
        <v>1.56</v>
      </c>
      <c r="E43" s="12">
        <v>15</v>
      </c>
      <c r="F43" s="8">
        <v>0.67</v>
      </c>
      <c r="G43" s="12">
        <v>57</v>
      </c>
      <c r="H43" s="8">
        <v>2.41</v>
      </c>
      <c r="I43" s="12">
        <v>0</v>
      </c>
    </row>
    <row r="44" spans="2:9" ht="15" customHeight="1" x14ac:dyDescent="0.2">
      <c r="B44" t="s">
        <v>104</v>
      </c>
      <c r="C44" s="12">
        <v>72</v>
      </c>
      <c r="D44" s="8">
        <v>1.56</v>
      </c>
      <c r="E44" s="12">
        <v>20</v>
      </c>
      <c r="F44" s="8">
        <v>0.89</v>
      </c>
      <c r="G44" s="12">
        <v>52</v>
      </c>
      <c r="H44" s="8">
        <v>2.2000000000000002</v>
      </c>
      <c r="I44" s="12">
        <v>0</v>
      </c>
    </row>
    <row r="47" spans="2:9" ht="33" customHeight="1" x14ac:dyDescent="0.2">
      <c r="B47" t="s">
        <v>273</v>
      </c>
      <c r="C47" s="10" t="s">
        <v>91</v>
      </c>
      <c r="D47" s="10" t="s">
        <v>92</v>
      </c>
      <c r="E47" s="10" t="s">
        <v>93</v>
      </c>
      <c r="F47" s="10" t="s">
        <v>94</v>
      </c>
      <c r="G47" s="10" t="s">
        <v>95</v>
      </c>
      <c r="H47" s="10" t="s">
        <v>96</v>
      </c>
      <c r="I47" s="10" t="s">
        <v>97</v>
      </c>
    </row>
    <row r="48" spans="2:9" ht="15" customHeight="1" x14ac:dyDescent="0.2">
      <c r="B48" t="s">
        <v>160</v>
      </c>
      <c r="C48" s="12">
        <v>225</v>
      </c>
      <c r="D48" s="8">
        <v>4.8600000000000003</v>
      </c>
      <c r="E48" s="12">
        <v>56</v>
      </c>
      <c r="F48" s="8">
        <v>2.48</v>
      </c>
      <c r="G48" s="12">
        <v>169</v>
      </c>
      <c r="H48" s="8">
        <v>7.13</v>
      </c>
      <c r="I48" s="12">
        <v>0</v>
      </c>
    </row>
    <row r="49" spans="2:9" ht="15" customHeight="1" x14ac:dyDescent="0.2">
      <c r="B49" t="s">
        <v>159</v>
      </c>
      <c r="C49" s="12">
        <v>147</v>
      </c>
      <c r="D49" s="8">
        <v>3.17</v>
      </c>
      <c r="E49" s="12">
        <v>15</v>
      </c>
      <c r="F49" s="8">
        <v>0.67</v>
      </c>
      <c r="G49" s="12">
        <v>132</v>
      </c>
      <c r="H49" s="8">
        <v>5.57</v>
      </c>
      <c r="I49" s="12">
        <v>0</v>
      </c>
    </row>
    <row r="50" spans="2:9" ht="15" customHeight="1" x14ac:dyDescent="0.2">
      <c r="B50" t="s">
        <v>169</v>
      </c>
      <c r="C50" s="12">
        <v>146</v>
      </c>
      <c r="D50" s="8">
        <v>3.15</v>
      </c>
      <c r="E50" s="12">
        <v>128</v>
      </c>
      <c r="F50" s="8">
        <v>5.68</v>
      </c>
      <c r="G50" s="12">
        <v>18</v>
      </c>
      <c r="H50" s="8">
        <v>0.76</v>
      </c>
      <c r="I50" s="12">
        <v>0</v>
      </c>
    </row>
    <row r="51" spans="2:9" ht="15" customHeight="1" x14ac:dyDescent="0.2">
      <c r="B51" t="s">
        <v>171</v>
      </c>
      <c r="C51" s="12">
        <v>139</v>
      </c>
      <c r="D51" s="8">
        <v>3</v>
      </c>
      <c r="E51" s="12">
        <v>123</v>
      </c>
      <c r="F51" s="8">
        <v>5.45</v>
      </c>
      <c r="G51" s="12">
        <v>16</v>
      </c>
      <c r="H51" s="8">
        <v>0.68</v>
      </c>
      <c r="I51" s="12">
        <v>0</v>
      </c>
    </row>
    <row r="52" spans="2:9" ht="15" customHeight="1" x14ac:dyDescent="0.2">
      <c r="B52" t="s">
        <v>167</v>
      </c>
      <c r="C52" s="12">
        <v>136</v>
      </c>
      <c r="D52" s="8">
        <v>2.94</v>
      </c>
      <c r="E52" s="12">
        <v>132</v>
      </c>
      <c r="F52" s="8">
        <v>5.85</v>
      </c>
      <c r="G52" s="12">
        <v>4</v>
      </c>
      <c r="H52" s="8">
        <v>0.17</v>
      </c>
      <c r="I52" s="12">
        <v>0</v>
      </c>
    </row>
    <row r="53" spans="2:9" ht="15" customHeight="1" x14ac:dyDescent="0.2">
      <c r="B53" t="s">
        <v>192</v>
      </c>
      <c r="C53" s="12">
        <v>117</v>
      </c>
      <c r="D53" s="8">
        <v>2.5299999999999998</v>
      </c>
      <c r="E53" s="12">
        <v>51</v>
      </c>
      <c r="F53" s="8">
        <v>2.2599999999999998</v>
      </c>
      <c r="G53" s="12">
        <v>66</v>
      </c>
      <c r="H53" s="8">
        <v>2.79</v>
      </c>
      <c r="I53" s="12">
        <v>0</v>
      </c>
    </row>
    <row r="54" spans="2:9" ht="15" customHeight="1" x14ac:dyDescent="0.2">
      <c r="B54" t="s">
        <v>165</v>
      </c>
      <c r="C54" s="12">
        <v>104</v>
      </c>
      <c r="D54" s="8">
        <v>2.25</v>
      </c>
      <c r="E54" s="12">
        <v>101</v>
      </c>
      <c r="F54" s="8">
        <v>4.4800000000000004</v>
      </c>
      <c r="G54" s="12">
        <v>3</v>
      </c>
      <c r="H54" s="8">
        <v>0.13</v>
      </c>
      <c r="I54" s="12">
        <v>0</v>
      </c>
    </row>
    <row r="55" spans="2:9" ht="15" customHeight="1" x14ac:dyDescent="0.2">
      <c r="B55" t="s">
        <v>168</v>
      </c>
      <c r="C55" s="12">
        <v>90</v>
      </c>
      <c r="D55" s="8">
        <v>1.94</v>
      </c>
      <c r="E55" s="12">
        <v>88</v>
      </c>
      <c r="F55" s="8">
        <v>3.9</v>
      </c>
      <c r="G55" s="12">
        <v>2</v>
      </c>
      <c r="H55" s="8">
        <v>0.08</v>
      </c>
      <c r="I55" s="12">
        <v>0</v>
      </c>
    </row>
    <row r="56" spans="2:9" ht="15" customHeight="1" x14ac:dyDescent="0.2">
      <c r="B56" t="s">
        <v>162</v>
      </c>
      <c r="C56" s="12">
        <v>83</v>
      </c>
      <c r="D56" s="8">
        <v>1.79</v>
      </c>
      <c r="E56" s="12">
        <v>3</v>
      </c>
      <c r="F56" s="8">
        <v>0.13</v>
      </c>
      <c r="G56" s="12">
        <v>80</v>
      </c>
      <c r="H56" s="8">
        <v>3.38</v>
      </c>
      <c r="I56" s="12">
        <v>0</v>
      </c>
    </row>
    <row r="57" spans="2:9" ht="15" customHeight="1" x14ac:dyDescent="0.2">
      <c r="B57" t="s">
        <v>157</v>
      </c>
      <c r="C57" s="12">
        <v>81</v>
      </c>
      <c r="D57" s="8">
        <v>1.75</v>
      </c>
      <c r="E57" s="12">
        <v>58</v>
      </c>
      <c r="F57" s="8">
        <v>2.57</v>
      </c>
      <c r="G57" s="12">
        <v>23</v>
      </c>
      <c r="H57" s="8">
        <v>0.97</v>
      </c>
      <c r="I57" s="12">
        <v>0</v>
      </c>
    </row>
    <row r="58" spans="2:9" ht="15" customHeight="1" x14ac:dyDescent="0.2">
      <c r="B58" t="s">
        <v>161</v>
      </c>
      <c r="C58" s="12">
        <v>77</v>
      </c>
      <c r="D58" s="8">
        <v>1.66</v>
      </c>
      <c r="E58" s="12">
        <v>37</v>
      </c>
      <c r="F58" s="8">
        <v>1.64</v>
      </c>
      <c r="G58" s="12">
        <v>39</v>
      </c>
      <c r="H58" s="8">
        <v>1.65</v>
      </c>
      <c r="I58" s="12">
        <v>1</v>
      </c>
    </row>
    <row r="59" spans="2:9" ht="15" customHeight="1" x14ac:dyDescent="0.2">
      <c r="B59" t="s">
        <v>202</v>
      </c>
      <c r="C59" s="12">
        <v>72</v>
      </c>
      <c r="D59" s="8">
        <v>1.56</v>
      </c>
      <c r="E59" s="12">
        <v>37</v>
      </c>
      <c r="F59" s="8">
        <v>1.64</v>
      </c>
      <c r="G59" s="12">
        <v>35</v>
      </c>
      <c r="H59" s="8">
        <v>1.48</v>
      </c>
      <c r="I59" s="12">
        <v>0</v>
      </c>
    </row>
    <row r="60" spans="2:9" ht="15" customHeight="1" x14ac:dyDescent="0.2">
      <c r="B60" t="s">
        <v>164</v>
      </c>
      <c r="C60" s="12">
        <v>70</v>
      </c>
      <c r="D60" s="8">
        <v>1.51</v>
      </c>
      <c r="E60" s="12">
        <v>63</v>
      </c>
      <c r="F60" s="8">
        <v>2.79</v>
      </c>
      <c r="G60" s="12">
        <v>7</v>
      </c>
      <c r="H60" s="8">
        <v>0.3</v>
      </c>
      <c r="I60" s="12">
        <v>0</v>
      </c>
    </row>
    <row r="61" spans="2:9" ht="15" customHeight="1" x14ac:dyDescent="0.2">
      <c r="B61" t="s">
        <v>153</v>
      </c>
      <c r="C61" s="12">
        <v>67</v>
      </c>
      <c r="D61" s="8">
        <v>1.45</v>
      </c>
      <c r="E61" s="12">
        <v>16</v>
      </c>
      <c r="F61" s="8">
        <v>0.71</v>
      </c>
      <c r="G61" s="12">
        <v>50</v>
      </c>
      <c r="H61" s="8">
        <v>2.11</v>
      </c>
      <c r="I61" s="12">
        <v>1</v>
      </c>
    </row>
    <row r="62" spans="2:9" ht="15" customHeight="1" x14ac:dyDescent="0.2">
      <c r="B62" t="s">
        <v>156</v>
      </c>
      <c r="C62" s="12">
        <v>67</v>
      </c>
      <c r="D62" s="8">
        <v>1.45</v>
      </c>
      <c r="E62" s="12">
        <v>56</v>
      </c>
      <c r="F62" s="8">
        <v>2.48</v>
      </c>
      <c r="G62" s="12">
        <v>11</v>
      </c>
      <c r="H62" s="8">
        <v>0.46</v>
      </c>
      <c r="I62" s="12">
        <v>0</v>
      </c>
    </row>
    <row r="63" spans="2:9" ht="15" customHeight="1" x14ac:dyDescent="0.2">
      <c r="B63" t="s">
        <v>174</v>
      </c>
      <c r="C63" s="12">
        <v>61</v>
      </c>
      <c r="D63" s="8">
        <v>1.32</v>
      </c>
      <c r="E63" s="12">
        <v>12</v>
      </c>
      <c r="F63" s="8">
        <v>0.53</v>
      </c>
      <c r="G63" s="12">
        <v>49</v>
      </c>
      <c r="H63" s="8">
        <v>2.0699999999999998</v>
      </c>
      <c r="I63" s="12">
        <v>0</v>
      </c>
    </row>
    <row r="64" spans="2:9" ht="15" customHeight="1" x14ac:dyDescent="0.2">
      <c r="B64" t="s">
        <v>175</v>
      </c>
      <c r="C64" s="12">
        <v>59</v>
      </c>
      <c r="D64" s="8">
        <v>1.27</v>
      </c>
      <c r="E64" s="12">
        <v>25</v>
      </c>
      <c r="F64" s="8">
        <v>1.1100000000000001</v>
      </c>
      <c r="G64" s="12">
        <v>34</v>
      </c>
      <c r="H64" s="8">
        <v>1.44</v>
      </c>
      <c r="I64" s="12">
        <v>0</v>
      </c>
    </row>
    <row r="65" spans="2:9" ht="15" customHeight="1" x14ac:dyDescent="0.2">
      <c r="B65" t="s">
        <v>215</v>
      </c>
      <c r="C65" s="12">
        <v>57</v>
      </c>
      <c r="D65" s="8">
        <v>1.23</v>
      </c>
      <c r="E65" s="12">
        <v>37</v>
      </c>
      <c r="F65" s="8">
        <v>1.64</v>
      </c>
      <c r="G65" s="12">
        <v>20</v>
      </c>
      <c r="H65" s="8">
        <v>0.84</v>
      </c>
      <c r="I65" s="12">
        <v>0</v>
      </c>
    </row>
    <row r="66" spans="2:9" ht="15" customHeight="1" x14ac:dyDescent="0.2">
      <c r="B66" t="s">
        <v>218</v>
      </c>
      <c r="C66" s="12">
        <v>54</v>
      </c>
      <c r="D66" s="8">
        <v>1.17</v>
      </c>
      <c r="E66" s="12">
        <v>5</v>
      </c>
      <c r="F66" s="8">
        <v>0.22</v>
      </c>
      <c r="G66" s="12">
        <v>49</v>
      </c>
      <c r="H66" s="8">
        <v>2.0699999999999998</v>
      </c>
      <c r="I66" s="12">
        <v>0</v>
      </c>
    </row>
    <row r="67" spans="2:9" ht="15" customHeight="1" x14ac:dyDescent="0.2">
      <c r="B67" t="s">
        <v>158</v>
      </c>
      <c r="C67" s="12">
        <v>53</v>
      </c>
      <c r="D67" s="8">
        <v>1.1399999999999999</v>
      </c>
      <c r="E67" s="12">
        <v>14</v>
      </c>
      <c r="F67" s="8">
        <v>0.62</v>
      </c>
      <c r="G67" s="12">
        <v>39</v>
      </c>
      <c r="H67" s="8">
        <v>1.65</v>
      </c>
      <c r="I67" s="12">
        <v>0</v>
      </c>
    </row>
    <row r="69" spans="2:9" ht="15" customHeight="1" x14ac:dyDescent="0.2">
      <c r="B69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0415C-5969-4BA5-8F27-D9D9E56332EB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298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537</v>
      </c>
      <c r="D6" s="8">
        <v>4.0199999999999996</v>
      </c>
      <c r="E6" s="12">
        <v>39</v>
      </c>
      <c r="F6" s="8">
        <v>0.74</v>
      </c>
      <c r="G6" s="12">
        <v>498</v>
      </c>
      <c r="H6" s="8">
        <v>6.18</v>
      </c>
      <c r="I6" s="12">
        <v>0</v>
      </c>
    </row>
    <row r="7" spans="2:9" ht="15" customHeight="1" x14ac:dyDescent="0.2">
      <c r="B7" t="s">
        <v>77</v>
      </c>
      <c r="C7" s="12">
        <v>545</v>
      </c>
      <c r="D7" s="8">
        <v>4.08</v>
      </c>
      <c r="E7" s="12">
        <v>104</v>
      </c>
      <c r="F7" s="8">
        <v>1.97</v>
      </c>
      <c r="G7" s="12">
        <v>441</v>
      </c>
      <c r="H7" s="8">
        <v>5.47</v>
      </c>
      <c r="I7" s="12">
        <v>0</v>
      </c>
    </row>
    <row r="8" spans="2:9" ht="15" customHeight="1" x14ac:dyDescent="0.2">
      <c r="B8" t="s">
        <v>78</v>
      </c>
      <c r="C8" s="12">
        <v>12</v>
      </c>
      <c r="D8" s="8">
        <v>0.09</v>
      </c>
      <c r="E8" s="12">
        <v>0</v>
      </c>
      <c r="F8" s="8">
        <v>0</v>
      </c>
      <c r="G8" s="12">
        <v>12</v>
      </c>
      <c r="H8" s="8">
        <v>0.15</v>
      </c>
      <c r="I8" s="12">
        <v>0</v>
      </c>
    </row>
    <row r="9" spans="2:9" ht="15" customHeight="1" x14ac:dyDescent="0.2">
      <c r="B9" t="s">
        <v>79</v>
      </c>
      <c r="C9" s="12">
        <v>689</v>
      </c>
      <c r="D9" s="8">
        <v>5.15</v>
      </c>
      <c r="E9" s="12">
        <v>38</v>
      </c>
      <c r="F9" s="8">
        <v>0.72</v>
      </c>
      <c r="G9" s="12">
        <v>651</v>
      </c>
      <c r="H9" s="8">
        <v>8.07</v>
      </c>
      <c r="I9" s="12">
        <v>0</v>
      </c>
    </row>
    <row r="10" spans="2:9" ht="15" customHeight="1" x14ac:dyDescent="0.2">
      <c r="B10" t="s">
        <v>80</v>
      </c>
      <c r="C10" s="12">
        <v>86</v>
      </c>
      <c r="D10" s="8">
        <v>0.64</v>
      </c>
      <c r="E10" s="12">
        <v>2</v>
      </c>
      <c r="F10" s="8">
        <v>0.04</v>
      </c>
      <c r="G10" s="12">
        <v>84</v>
      </c>
      <c r="H10" s="8">
        <v>1.04</v>
      </c>
      <c r="I10" s="12">
        <v>0</v>
      </c>
    </row>
    <row r="11" spans="2:9" ht="15" customHeight="1" x14ac:dyDescent="0.2">
      <c r="B11" t="s">
        <v>81</v>
      </c>
      <c r="C11" s="12">
        <v>2562</v>
      </c>
      <c r="D11" s="8">
        <v>19.170000000000002</v>
      </c>
      <c r="E11" s="12">
        <v>532</v>
      </c>
      <c r="F11" s="8">
        <v>10.09</v>
      </c>
      <c r="G11" s="12">
        <v>2029</v>
      </c>
      <c r="H11" s="8">
        <v>25.16</v>
      </c>
      <c r="I11" s="12">
        <v>1</v>
      </c>
    </row>
    <row r="12" spans="2:9" ht="15" customHeight="1" x14ac:dyDescent="0.2">
      <c r="B12" t="s">
        <v>82</v>
      </c>
      <c r="C12" s="12">
        <v>106</v>
      </c>
      <c r="D12" s="8">
        <v>0.79</v>
      </c>
      <c r="E12" s="12">
        <v>9</v>
      </c>
      <c r="F12" s="8">
        <v>0.17</v>
      </c>
      <c r="G12" s="12">
        <v>97</v>
      </c>
      <c r="H12" s="8">
        <v>1.2</v>
      </c>
      <c r="I12" s="12">
        <v>0</v>
      </c>
    </row>
    <row r="13" spans="2:9" ht="15" customHeight="1" x14ac:dyDescent="0.2">
      <c r="B13" t="s">
        <v>83</v>
      </c>
      <c r="C13" s="12">
        <v>1551</v>
      </c>
      <c r="D13" s="8">
        <v>11.6</v>
      </c>
      <c r="E13" s="12">
        <v>281</v>
      </c>
      <c r="F13" s="8">
        <v>5.33</v>
      </c>
      <c r="G13" s="12">
        <v>1270</v>
      </c>
      <c r="H13" s="8">
        <v>15.75</v>
      </c>
      <c r="I13" s="12">
        <v>0</v>
      </c>
    </row>
    <row r="14" spans="2:9" ht="15" customHeight="1" x14ac:dyDescent="0.2">
      <c r="B14" t="s">
        <v>84</v>
      </c>
      <c r="C14" s="12">
        <v>2782</v>
      </c>
      <c r="D14" s="8">
        <v>20.81</v>
      </c>
      <c r="E14" s="12">
        <v>1679</v>
      </c>
      <c r="F14" s="8">
        <v>31.83</v>
      </c>
      <c r="G14" s="12">
        <v>1094</v>
      </c>
      <c r="H14" s="8">
        <v>13.57</v>
      </c>
      <c r="I14" s="12">
        <v>8</v>
      </c>
    </row>
    <row r="15" spans="2:9" ht="15" customHeight="1" x14ac:dyDescent="0.2">
      <c r="B15" t="s">
        <v>85</v>
      </c>
      <c r="C15" s="12">
        <v>2480</v>
      </c>
      <c r="D15" s="8">
        <v>18.55</v>
      </c>
      <c r="E15" s="12">
        <v>1833</v>
      </c>
      <c r="F15" s="8">
        <v>34.75</v>
      </c>
      <c r="G15" s="12">
        <v>645</v>
      </c>
      <c r="H15" s="8">
        <v>8</v>
      </c>
      <c r="I15" s="12">
        <v>2</v>
      </c>
    </row>
    <row r="16" spans="2:9" ht="15" customHeight="1" x14ac:dyDescent="0.2">
      <c r="B16" t="s">
        <v>86</v>
      </c>
      <c r="C16" s="12">
        <v>789</v>
      </c>
      <c r="D16" s="8">
        <v>5.9</v>
      </c>
      <c r="E16" s="12">
        <v>379</v>
      </c>
      <c r="F16" s="8">
        <v>7.18</v>
      </c>
      <c r="G16" s="12">
        <v>408</v>
      </c>
      <c r="H16" s="8">
        <v>5.0599999999999996</v>
      </c>
      <c r="I16" s="12">
        <v>2</v>
      </c>
    </row>
    <row r="17" spans="2:9" ht="15" customHeight="1" x14ac:dyDescent="0.2">
      <c r="B17" t="s">
        <v>87</v>
      </c>
      <c r="C17" s="12">
        <v>281</v>
      </c>
      <c r="D17" s="8">
        <v>2.1</v>
      </c>
      <c r="E17" s="12">
        <v>102</v>
      </c>
      <c r="F17" s="8">
        <v>1.93</v>
      </c>
      <c r="G17" s="12">
        <v>176</v>
      </c>
      <c r="H17" s="8">
        <v>2.1800000000000002</v>
      </c>
      <c r="I17" s="12">
        <v>2</v>
      </c>
    </row>
    <row r="18" spans="2:9" ht="15" customHeight="1" x14ac:dyDescent="0.2">
      <c r="B18" t="s">
        <v>88</v>
      </c>
      <c r="C18" s="12">
        <v>408</v>
      </c>
      <c r="D18" s="8">
        <v>3.05</v>
      </c>
      <c r="E18" s="12">
        <v>241</v>
      </c>
      <c r="F18" s="8">
        <v>4.57</v>
      </c>
      <c r="G18" s="12">
        <v>165</v>
      </c>
      <c r="H18" s="8">
        <v>2.0499999999999998</v>
      </c>
      <c r="I18" s="12">
        <v>2</v>
      </c>
    </row>
    <row r="19" spans="2:9" ht="15" customHeight="1" x14ac:dyDescent="0.2">
      <c r="B19" t="s">
        <v>89</v>
      </c>
      <c r="C19" s="12">
        <v>540</v>
      </c>
      <c r="D19" s="8">
        <v>4.04</v>
      </c>
      <c r="E19" s="12">
        <v>36</v>
      </c>
      <c r="F19" s="8">
        <v>0.68</v>
      </c>
      <c r="G19" s="12">
        <v>494</v>
      </c>
      <c r="H19" s="8">
        <v>6.13</v>
      </c>
      <c r="I19" s="12">
        <v>8</v>
      </c>
    </row>
    <row r="20" spans="2:9" ht="15" customHeight="1" x14ac:dyDescent="0.2">
      <c r="B20" s="9" t="s">
        <v>271</v>
      </c>
      <c r="C20" s="12">
        <f>SUM(LTBL_27127[総数／事業所数])</f>
        <v>13368</v>
      </c>
      <c r="E20" s="12">
        <f>SUBTOTAL(109,LTBL_27127[個人／事業所数])</f>
        <v>5275</v>
      </c>
      <c r="G20" s="12">
        <f>SUBTOTAL(109,LTBL_27127[法人／事業所数])</f>
        <v>8064</v>
      </c>
      <c r="I20" s="12">
        <f>SUBTOTAL(109,LTBL_27127[法人以外の団体／事業所数])</f>
        <v>25</v>
      </c>
    </row>
    <row r="21" spans="2:9" ht="15" customHeight="1" x14ac:dyDescent="0.2">
      <c r="E21" s="11">
        <f>LTBL_27127[[#Totals],[個人／事業所数]]/LTBL_27127[[#Totals],[総数／事業所数]]</f>
        <v>0.39459904248952721</v>
      </c>
      <c r="G21" s="11">
        <f>LTBL_27127[[#Totals],[法人／事業所数]]/LTBL_27127[[#Totals],[総数／事業所数]]</f>
        <v>0.60323159784560143</v>
      </c>
      <c r="I21" s="11">
        <f>LTBL_27127[[#Totals],[法人以外の団体／事業所数]]/LTBL_27127[[#Totals],[総数／事業所数]]</f>
        <v>1.8701376421304608E-3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113</v>
      </c>
      <c r="C24" s="12">
        <v>2394</v>
      </c>
      <c r="D24" s="8">
        <v>17.91</v>
      </c>
      <c r="E24" s="12">
        <v>1815</v>
      </c>
      <c r="F24" s="8">
        <v>34.409999999999997</v>
      </c>
      <c r="G24" s="12">
        <v>577</v>
      </c>
      <c r="H24" s="8">
        <v>7.16</v>
      </c>
      <c r="I24" s="12">
        <v>2</v>
      </c>
    </row>
    <row r="25" spans="2:9" ht="15" customHeight="1" x14ac:dyDescent="0.2">
      <c r="B25" t="s">
        <v>111</v>
      </c>
      <c r="C25" s="12">
        <v>2222</v>
      </c>
      <c r="D25" s="8">
        <v>16.62</v>
      </c>
      <c r="E25" s="12">
        <v>1531</v>
      </c>
      <c r="F25" s="8">
        <v>29.02</v>
      </c>
      <c r="G25" s="12">
        <v>687</v>
      </c>
      <c r="H25" s="8">
        <v>8.52</v>
      </c>
      <c r="I25" s="12">
        <v>4</v>
      </c>
    </row>
    <row r="26" spans="2:9" ht="15" customHeight="1" x14ac:dyDescent="0.2">
      <c r="B26" t="s">
        <v>110</v>
      </c>
      <c r="C26" s="12">
        <v>1120</v>
      </c>
      <c r="D26" s="8">
        <v>8.3800000000000008</v>
      </c>
      <c r="E26" s="12">
        <v>255</v>
      </c>
      <c r="F26" s="8">
        <v>4.83</v>
      </c>
      <c r="G26" s="12">
        <v>865</v>
      </c>
      <c r="H26" s="8">
        <v>10.73</v>
      </c>
      <c r="I26" s="12">
        <v>0</v>
      </c>
    </row>
    <row r="27" spans="2:9" ht="15" customHeight="1" x14ac:dyDescent="0.2">
      <c r="B27" t="s">
        <v>108</v>
      </c>
      <c r="C27" s="12">
        <v>596</v>
      </c>
      <c r="D27" s="8">
        <v>4.46</v>
      </c>
      <c r="E27" s="12">
        <v>246</v>
      </c>
      <c r="F27" s="8">
        <v>4.66</v>
      </c>
      <c r="G27" s="12">
        <v>350</v>
      </c>
      <c r="H27" s="8">
        <v>4.34</v>
      </c>
      <c r="I27" s="12">
        <v>0</v>
      </c>
    </row>
    <row r="28" spans="2:9" ht="15" customHeight="1" x14ac:dyDescent="0.2">
      <c r="B28" t="s">
        <v>105</v>
      </c>
      <c r="C28" s="12">
        <v>520</v>
      </c>
      <c r="D28" s="8">
        <v>3.89</v>
      </c>
      <c r="E28" s="12">
        <v>89</v>
      </c>
      <c r="F28" s="8">
        <v>1.69</v>
      </c>
      <c r="G28" s="12">
        <v>431</v>
      </c>
      <c r="H28" s="8">
        <v>5.34</v>
      </c>
      <c r="I28" s="12">
        <v>0</v>
      </c>
    </row>
    <row r="29" spans="2:9" ht="15" customHeight="1" x14ac:dyDescent="0.2">
      <c r="B29" t="s">
        <v>114</v>
      </c>
      <c r="C29" s="12">
        <v>478</v>
      </c>
      <c r="D29" s="8">
        <v>3.58</v>
      </c>
      <c r="E29" s="12">
        <v>314</v>
      </c>
      <c r="F29" s="8">
        <v>5.95</v>
      </c>
      <c r="G29" s="12">
        <v>164</v>
      </c>
      <c r="H29" s="8">
        <v>2.0299999999999998</v>
      </c>
      <c r="I29" s="12">
        <v>0</v>
      </c>
    </row>
    <row r="30" spans="2:9" ht="15" customHeight="1" x14ac:dyDescent="0.2">
      <c r="B30" t="s">
        <v>112</v>
      </c>
      <c r="C30" s="12">
        <v>434</v>
      </c>
      <c r="D30" s="8">
        <v>3.25</v>
      </c>
      <c r="E30" s="12">
        <v>140</v>
      </c>
      <c r="F30" s="8">
        <v>2.65</v>
      </c>
      <c r="G30" s="12">
        <v>292</v>
      </c>
      <c r="H30" s="8">
        <v>3.62</v>
      </c>
      <c r="I30" s="12">
        <v>1</v>
      </c>
    </row>
    <row r="31" spans="2:9" ht="15" customHeight="1" x14ac:dyDescent="0.2">
      <c r="B31" t="s">
        <v>109</v>
      </c>
      <c r="C31" s="12">
        <v>380</v>
      </c>
      <c r="D31" s="8">
        <v>2.84</v>
      </c>
      <c r="E31" s="12">
        <v>26</v>
      </c>
      <c r="F31" s="8">
        <v>0.49</v>
      </c>
      <c r="G31" s="12">
        <v>354</v>
      </c>
      <c r="H31" s="8">
        <v>4.3899999999999997</v>
      </c>
      <c r="I31" s="12">
        <v>0</v>
      </c>
    </row>
    <row r="32" spans="2:9" ht="15" customHeight="1" x14ac:dyDescent="0.2">
      <c r="B32" t="s">
        <v>119</v>
      </c>
      <c r="C32" s="12">
        <v>380</v>
      </c>
      <c r="D32" s="8">
        <v>2.84</v>
      </c>
      <c r="E32" s="12">
        <v>22</v>
      </c>
      <c r="F32" s="8">
        <v>0.42</v>
      </c>
      <c r="G32" s="12">
        <v>352</v>
      </c>
      <c r="H32" s="8">
        <v>4.37</v>
      </c>
      <c r="I32" s="12">
        <v>4</v>
      </c>
    </row>
    <row r="33" spans="2:9" ht="15" customHeight="1" x14ac:dyDescent="0.2">
      <c r="B33" t="s">
        <v>116</v>
      </c>
      <c r="C33" s="12">
        <v>324</v>
      </c>
      <c r="D33" s="8">
        <v>2.42</v>
      </c>
      <c r="E33" s="12">
        <v>240</v>
      </c>
      <c r="F33" s="8">
        <v>4.55</v>
      </c>
      <c r="G33" s="12">
        <v>84</v>
      </c>
      <c r="H33" s="8">
        <v>1.04</v>
      </c>
      <c r="I33" s="12">
        <v>0</v>
      </c>
    </row>
    <row r="34" spans="2:9" ht="15" customHeight="1" x14ac:dyDescent="0.2">
      <c r="B34" t="s">
        <v>103</v>
      </c>
      <c r="C34" s="12">
        <v>299</v>
      </c>
      <c r="D34" s="8">
        <v>2.2400000000000002</v>
      </c>
      <c r="E34" s="12">
        <v>9</v>
      </c>
      <c r="F34" s="8">
        <v>0.17</v>
      </c>
      <c r="G34" s="12">
        <v>290</v>
      </c>
      <c r="H34" s="8">
        <v>3.6</v>
      </c>
      <c r="I34" s="12">
        <v>0</v>
      </c>
    </row>
    <row r="35" spans="2:9" ht="15" customHeight="1" x14ac:dyDescent="0.2">
      <c r="B35" t="s">
        <v>139</v>
      </c>
      <c r="C35" s="12">
        <v>288</v>
      </c>
      <c r="D35" s="8">
        <v>2.15</v>
      </c>
      <c r="E35" s="12">
        <v>27</v>
      </c>
      <c r="F35" s="8">
        <v>0.51</v>
      </c>
      <c r="G35" s="12">
        <v>261</v>
      </c>
      <c r="H35" s="8">
        <v>3.24</v>
      </c>
      <c r="I35" s="12">
        <v>0</v>
      </c>
    </row>
    <row r="36" spans="2:9" ht="15" customHeight="1" x14ac:dyDescent="0.2">
      <c r="B36" t="s">
        <v>115</v>
      </c>
      <c r="C36" s="12">
        <v>281</v>
      </c>
      <c r="D36" s="8">
        <v>2.1</v>
      </c>
      <c r="E36" s="12">
        <v>102</v>
      </c>
      <c r="F36" s="8">
        <v>1.93</v>
      </c>
      <c r="G36" s="12">
        <v>176</v>
      </c>
      <c r="H36" s="8">
        <v>2.1800000000000002</v>
      </c>
      <c r="I36" s="12">
        <v>2</v>
      </c>
    </row>
    <row r="37" spans="2:9" ht="15" customHeight="1" x14ac:dyDescent="0.2">
      <c r="B37" t="s">
        <v>104</v>
      </c>
      <c r="C37" s="12">
        <v>255</v>
      </c>
      <c r="D37" s="8">
        <v>1.91</v>
      </c>
      <c r="E37" s="12">
        <v>20</v>
      </c>
      <c r="F37" s="8">
        <v>0.38</v>
      </c>
      <c r="G37" s="12">
        <v>235</v>
      </c>
      <c r="H37" s="8">
        <v>2.91</v>
      </c>
      <c r="I37" s="12">
        <v>0</v>
      </c>
    </row>
    <row r="38" spans="2:9" ht="15" customHeight="1" x14ac:dyDescent="0.2">
      <c r="B38" t="s">
        <v>125</v>
      </c>
      <c r="C38" s="12">
        <v>240</v>
      </c>
      <c r="D38" s="8">
        <v>1.8</v>
      </c>
      <c r="E38" s="12">
        <v>9</v>
      </c>
      <c r="F38" s="8">
        <v>0.17</v>
      </c>
      <c r="G38" s="12">
        <v>231</v>
      </c>
      <c r="H38" s="8">
        <v>2.86</v>
      </c>
      <c r="I38" s="12">
        <v>0</v>
      </c>
    </row>
    <row r="39" spans="2:9" ht="15" customHeight="1" x14ac:dyDescent="0.2">
      <c r="B39" t="s">
        <v>106</v>
      </c>
      <c r="C39" s="12">
        <v>239</v>
      </c>
      <c r="D39" s="8">
        <v>1.79</v>
      </c>
      <c r="E39" s="12">
        <v>108</v>
      </c>
      <c r="F39" s="8">
        <v>2.0499999999999998</v>
      </c>
      <c r="G39" s="12">
        <v>131</v>
      </c>
      <c r="H39" s="8">
        <v>1.62</v>
      </c>
      <c r="I39" s="12">
        <v>0</v>
      </c>
    </row>
    <row r="40" spans="2:9" ht="15" customHeight="1" x14ac:dyDescent="0.2">
      <c r="B40" t="s">
        <v>102</v>
      </c>
      <c r="C40" s="12">
        <v>215</v>
      </c>
      <c r="D40" s="8">
        <v>1.61</v>
      </c>
      <c r="E40" s="12">
        <v>9</v>
      </c>
      <c r="F40" s="8">
        <v>0.17</v>
      </c>
      <c r="G40" s="12">
        <v>205</v>
      </c>
      <c r="H40" s="8">
        <v>2.54</v>
      </c>
      <c r="I40" s="12">
        <v>1</v>
      </c>
    </row>
    <row r="41" spans="2:9" ht="15" customHeight="1" x14ac:dyDescent="0.2">
      <c r="B41" t="s">
        <v>100</v>
      </c>
      <c r="C41" s="12">
        <v>205</v>
      </c>
      <c r="D41" s="8">
        <v>1.53</v>
      </c>
      <c r="E41" s="12">
        <v>10</v>
      </c>
      <c r="F41" s="8">
        <v>0.19</v>
      </c>
      <c r="G41" s="12">
        <v>195</v>
      </c>
      <c r="H41" s="8">
        <v>2.42</v>
      </c>
      <c r="I41" s="12">
        <v>0</v>
      </c>
    </row>
    <row r="42" spans="2:9" ht="15" customHeight="1" x14ac:dyDescent="0.2">
      <c r="B42" t="s">
        <v>130</v>
      </c>
      <c r="C42" s="12">
        <v>200</v>
      </c>
      <c r="D42" s="8">
        <v>1.5</v>
      </c>
      <c r="E42" s="12">
        <v>40</v>
      </c>
      <c r="F42" s="8">
        <v>0.76</v>
      </c>
      <c r="G42" s="12">
        <v>159</v>
      </c>
      <c r="H42" s="8">
        <v>1.97</v>
      </c>
      <c r="I42" s="12">
        <v>1</v>
      </c>
    </row>
    <row r="43" spans="2:9" ht="15" customHeight="1" x14ac:dyDescent="0.2">
      <c r="B43" t="s">
        <v>98</v>
      </c>
      <c r="C43" s="12">
        <v>184</v>
      </c>
      <c r="D43" s="8">
        <v>1.38</v>
      </c>
      <c r="E43" s="12">
        <v>14</v>
      </c>
      <c r="F43" s="8">
        <v>0.27</v>
      </c>
      <c r="G43" s="12">
        <v>170</v>
      </c>
      <c r="H43" s="8">
        <v>2.11</v>
      </c>
      <c r="I43" s="12">
        <v>0</v>
      </c>
    </row>
    <row r="46" spans="2:9" ht="33" customHeight="1" x14ac:dyDescent="0.2">
      <c r="B46" t="s">
        <v>273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166</v>
      </c>
      <c r="C47" s="12">
        <v>761</v>
      </c>
      <c r="D47" s="8">
        <v>5.69</v>
      </c>
      <c r="E47" s="12">
        <v>661</v>
      </c>
      <c r="F47" s="8">
        <v>12.53</v>
      </c>
      <c r="G47" s="12">
        <v>100</v>
      </c>
      <c r="H47" s="8">
        <v>1.24</v>
      </c>
      <c r="I47" s="12">
        <v>0</v>
      </c>
    </row>
    <row r="48" spans="2:9" ht="15" customHeight="1" x14ac:dyDescent="0.2">
      <c r="B48" t="s">
        <v>219</v>
      </c>
      <c r="C48" s="12">
        <v>742</v>
      </c>
      <c r="D48" s="8">
        <v>5.55</v>
      </c>
      <c r="E48" s="12">
        <v>711</v>
      </c>
      <c r="F48" s="8">
        <v>13.48</v>
      </c>
      <c r="G48" s="12">
        <v>31</v>
      </c>
      <c r="H48" s="8">
        <v>0.38</v>
      </c>
      <c r="I48" s="12">
        <v>0</v>
      </c>
    </row>
    <row r="49" spans="2:9" ht="15" customHeight="1" x14ac:dyDescent="0.2">
      <c r="B49" t="s">
        <v>164</v>
      </c>
      <c r="C49" s="12">
        <v>647</v>
      </c>
      <c r="D49" s="8">
        <v>4.84</v>
      </c>
      <c r="E49" s="12">
        <v>424</v>
      </c>
      <c r="F49" s="8">
        <v>8.0399999999999991</v>
      </c>
      <c r="G49" s="12">
        <v>223</v>
      </c>
      <c r="H49" s="8">
        <v>2.77</v>
      </c>
      <c r="I49" s="12">
        <v>0</v>
      </c>
    </row>
    <row r="50" spans="2:9" ht="15" customHeight="1" x14ac:dyDescent="0.2">
      <c r="B50" t="s">
        <v>163</v>
      </c>
      <c r="C50" s="12">
        <v>484</v>
      </c>
      <c r="D50" s="8">
        <v>3.62</v>
      </c>
      <c r="E50" s="12">
        <v>452</v>
      </c>
      <c r="F50" s="8">
        <v>8.57</v>
      </c>
      <c r="G50" s="12">
        <v>32</v>
      </c>
      <c r="H50" s="8">
        <v>0.4</v>
      </c>
      <c r="I50" s="12">
        <v>0</v>
      </c>
    </row>
    <row r="51" spans="2:9" ht="15" customHeight="1" x14ac:dyDescent="0.2">
      <c r="B51" t="s">
        <v>165</v>
      </c>
      <c r="C51" s="12">
        <v>473</v>
      </c>
      <c r="D51" s="8">
        <v>3.54</v>
      </c>
      <c r="E51" s="12">
        <v>373</v>
      </c>
      <c r="F51" s="8">
        <v>7.07</v>
      </c>
      <c r="G51" s="12">
        <v>100</v>
      </c>
      <c r="H51" s="8">
        <v>1.24</v>
      </c>
      <c r="I51" s="12">
        <v>0</v>
      </c>
    </row>
    <row r="52" spans="2:9" ht="15" customHeight="1" x14ac:dyDescent="0.2">
      <c r="B52" t="s">
        <v>160</v>
      </c>
      <c r="C52" s="12">
        <v>441</v>
      </c>
      <c r="D52" s="8">
        <v>3.3</v>
      </c>
      <c r="E52" s="12">
        <v>92</v>
      </c>
      <c r="F52" s="8">
        <v>1.74</v>
      </c>
      <c r="G52" s="12">
        <v>349</v>
      </c>
      <c r="H52" s="8">
        <v>4.33</v>
      </c>
      <c r="I52" s="12">
        <v>0</v>
      </c>
    </row>
    <row r="53" spans="2:9" ht="15" customHeight="1" x14ac:dyDescent="0.2">
      <c r="B53" t="s">
        <v>159</v>
      </c>
      <c r="C53" s="12">
        <v>420</v>
      </c>
      <c r="D53" s="8">
        <v>3.14</v>
      </c>
      <c r="E53" s="12">
        <v>120</v>
      </c>
      <c r="F53" s="8">
        <v>2.27</v>
      </c>
      <c r="G53" s="12">
        <v>300</v>
      </c>
      <c r="H53" s="8">
        <v>3.72</v>
      </c>
      <c r="I53" s="12">
        <v>0</v>
      </c>
    </row>
    <row r="54" spans="2:9" ht="15" customHeight="1" x14ac:dyDescent="0.2">
      <c r="B54" t="s">
        <v>172</v>
      </c>
      <c r="C54" s="12">
        <v>307</v>
      </c>
      <c r="D54" s="8">
        <v>2.2999999999999998</v>
      </c>
      <c r="E54" s="12">
        <v>96</v>
      </c>
      <c r="F54" s="8">
        <v>1.82</v>
      </c>
      <c r="G54" s="12">
        <v>209</v>
      </c>
      <c r="H54" s="8">
        <v>2.59</v>
      </c>
      <c r="I54" s="12">
        <v>1</v>
      </c>
    </row>
    <row r="55" spans="2:9" ht="15" customHeight="1" x14ac:dyDescent="0.2">
      <c r="B55" t="s">
        <v>173</v>
      </c>
      <c r="C55" s="12">
        <v>284</v>
      </c>
      <c r="D55" s="8">
        <v>2.12</v>
      </c>
      <c r="E55" s="12">
        <v>19</v>
      </c>
      <c r="F55" s="8">
        <v>0.36</v>
      </c>
      <c r="G55" s="12">
        <v>259</v>
      </c>
      <c r="H55" s="8">
        <v>3.21</v>
      </c>
      <c r="I55" s="12">
        <v>4</v>
      </c>
    </row>
    <row r="56" spans="2:9" ht="15" customHeight="1" x14ac:dyDescent="0.2">
      <c r="B56" t="s">
        <v>157</v>
      </c>
      <c r="C56" s="12">
        <v>279</v>
      </c>
      <c r="D56" s="8">
        <v>2.09</v>
      </c>
      <c r="E56" s="12">
        <v>143</v>
      </c>
      <c r="F56" s="8">
        <v>2.71</v>
      </c>
      <c r="G56" s="12">
        <v>136</v>
      </c>
      <c r="H56" s="8">
        <v>1.69</v>
      </c>
      <c r="I56" s="12">
        <v>0</v>
      </c>
    </row>
    <row r="57" spans="2:9" ht="15" customHeight="1" x14ac:dyDescent="0.2">
      <c r="B57" t="s">
        <v>189</v>
      </c>
      <c r="C57" s="12">
        <v>274</v>
      </c>
      <c r="D57" s="8">
        <v>2.0499999999999998</v>
      </c>
      <c r="E57" s="12">
        <v>29</v>
      </c>
      <c r="F57" s="8">
        <v>0.55000000000000004</v>
      </c>
      <c r="G57" s="12">
        <v>241</v>
      </c>
      <c r="H57" s="8">
        <v>2.99</v>
      </c>
      <c r="I57" s="12">
        <v>4</v>
      </c>
    </row>
    <row r="58" spans="2:9" ht="15" customHeight="1" x14ac:dyDescent="0.2">
      <c r="B58" t="s">
        <v>158</v>
      </c>
      <c r="C58" s="12">
        <v>259</v>
      </c>
      <c r="D58" s="8">
        <v>1.94</v>
      </c>
      <c r="E58" s="12">
        <v>25</v>
      </c>
      <c r="F58" s="8">
        <v>0.47</v>
      </c>
      <c r="G58" s="12">
        <v>234</v>
      </c>
      <c r="H58" s="8">
        <v>2.9</v>
      </c>
      <c r="I58" s="12">
        <v>0</v>
      </c>
    </row>
    <row r="59" spans="2:9" ht="15" customHeight="1" x14ac:dyDescent="0.2">
      <c r="B59" t="s">
        <v>188</v>
      </c>
      <c r="C59" s="12">
        <v>252</v>
      </c>
      <c r="D59" s="8">
        <v>1.89</v>
      </c>
      <c r="E59" s="12">
        <v>7</v>
      </c>
      <c r="F59" s="8">
        <v>0.13</v>
      </c>
      <c r="G59" s="12">
        <v>245</v>
      </c>
      <c r="H59" s="8">
        <v>3.04</v>
      </c>
      <c r="I59" s="12">
        <v>0</v>
      </c>
    </row>
    <row r="60" spans="2:9" ht="15" customHeight="1" x14ac:dyDescent="0.2">
      <c r="B60" t="s">
        <v>171</v>
      </c>
      <c r="C60" s="12">
        <v>230</v>
      </c>
      <c r="D60" s="8">
        <v>1.72</v>
      </c>
      <c r="E60" s="12">
        <v>174</v>
      </c>
      <c r="F60" s="8">
        <v>3.3</v>
      </c>
      <c r="G60" s="12">
        <v>56</v>
      </c>
      <c r="H60" s="8">
        <v>0.69</v>
      </c>
      <c r="I60" s="12">
        <v>0</v>
      </c>
    </row>
    <row r="61" spans="2:9" ht="15" customHeight="1" x14ac:dyDescent="0.2">
      <c r="B61" t="s">
        <v>169</v>
      </c>
      <c r="C61" s="12">
        <v>226</v>
      </c>
      <c r="D61" s="8">
        <v>1.69</v>
      </c>
      <c r="E61" s="12">
        <v>174</v>
      </c>
      <c r="F61" s="8">
        <v>3.3</v>
      </c>
      <c r="G61" s="12">
        <v>52</v>
      </c>
      <c r="H61" s="8">
        <v>0.64</v>
      </c>
      <c r="I61" s="12">
        <v>0</v>
      </c>
    </row>
    <row r="62" spans="2:9" ht="15" customHeight="1" x14ac:dyDescent="0.2">
      <c r="B62" t="s">
        <v>167</v>
      </c>
      <c r="C62" s="12">
        <v>225</v>
      </c>
      <c r="D62" s="8">
        <v>1.68</v>
      </c>
      <c r="E62" s="12">
        <v>175</v>
      </c>
      <c r="F62" s="8">
        <v>3.32</v>
      </c>
      <c r="G62" s="12">
        <v>49</v>
      </c>
      <c r="H62" s="8">
        <v>0.61</v>
      </c>
      <c r="I62" s="12">
        <v>1</v>
      </c>
    </row>
    <row r="63" spans="2:9" ht="15" customHeight="1" x14ac:dyDescent="0.2">
      <c r="B63" t="s">
        <v>155</v>
      </c>
      <c r="C63" s="12">
        <v>221</v>
      </c>
      <c r="D63" s="8">
        <v>1.65</v>
      </c>
      <c r="E63" s="12">
        <v>30</v>
      </c>
      <c r="F63" s="8">
        <v>0.56999999999999995</v>
      </c>
      <c r="G63" s="12">
        <v>191</v>
      </c>
      <c r="H63" s="8">
        <v>2.37</v>
      </c>
      <c r="I63" s="12">
        <v>0</v>
      </c>
    </row>
    <row r="64" spans="2:9" ht="15" customHeight="1" x14ac:dyDescent="0.2">
      <c r="B64" t="s">
        <v>185</v>
      </c>
      <c r="C64" s="12">
        <v>210</v>
      </c>
      <c r="D64" s="8">
        <v>1.57</v>
      </c>
      <c r="E64" s="12">
        <v>7</v>
      </c>
      <c r="F64" s="8">
        <v>0.13</v>
      </c>
      <c r="G64" s="12">
        <v>203</v>
      </c>
      <c r="H64" s="8">
        <v>2.52</v>
      </c>
      <c r="I64" s="12">
        <v>0</v>
      </c>
    </row>
    <row r="65" spans="2:9" ht="15" customHeight="1" x14ac:dyDescent="0.2">
      <c r="B65" t="s">
        <v>162</v>
      </c>
      <c r="C65" s="12">
        <v>187</v>
      </c>
      <c r="D65" s="8">
        <v>1.4</v>
      </c>
      <c r="E65" s="12">
        <v>16</v>
      </c>
      <c r="F65" s="8">
        <v>0.3</v>
      </c>
      <c r="G65" s="12">
        <v>171</v>
      </c>
      <c r="H65" s="8">
        <v>2.12</v>
      </c>
      <c r="I65" s="12">
        <v>0</v>
      </c>
    </row>
    <row r="66" spans="2:9" ht="15" customHeight="1" x14ac:dyDescent="0.2">
      <c r="B66" t="s">
        <v>170</v>
      </c>
      <c r="C66" s="12">
        <v>176</v>
      </c>
      <c r="D66" s="8">
        <v>1.32</v>
      </c>
      <c r="E66" s="12">
        <v>83</v>
      </c>
      <c r="F66" s="8">
        <v>1.57</v>
      </c>
      <c r="G66" s="12">
        <v>93</v>
      </c>
      <c r="H66" s="8">
        <v>1.1499999999999999</v>
      </c>
      <c r="I66" s="12">
        <v>0</v>
      </c>
    </row>
    <row r="68" spans="2:9" ht="15" customHeight="1" x14ac:dyDescent="0.2">
      <c r="B68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A9E43-773B-4155-9D82-4FB9ADB1A980}">
  <sheetPr>
    <pageSetUpPr fitToPage="1"/>
  </sheetPr>
  <dimension ref="A1:I1694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150</v>
      </c>
      <c r="B1" s="3" t="s">
        <v>151</v>
      </c>
      <c r="C1" s="7" t="s">
        <v>91</v>
      </c>
      <c r="D1" s="7" t="s">
        <v>92</v>
      </c>
      <c r="E1" s="7" t="s">
        <v>93</v>
      </c>
      <c r="F1" s="7" t="s">
        <v>94</v>
      </c>
      <c r="G1" s="7" t="s">
        <v>95</v>
      </c>
      <c r="H1" s="7" t="s">
        <v>96</v>
      </c>
      <c r="I1" s="7" t="s">
        <v>97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113</v>
      </c>
      <c r="C3" s="4">
        <v>24648</v>
      </c>
      <c r="D3" s="8">
        <v>11.26</v>
      </c>
      <c r="E3" s="4">
        <v>21681</v>
      </c>
      <c r="F3" s="8">
        <v>21.02</v>
      </c>
      <c r="G3" s="4">
        <v>2959</v>
      </c>
      <c r="H3" s="8">
        <v>2.58</v>
      </c>
      <c r="I3" s="4">
        <v>8</v>
      </c>
    </row>
    <row r="4" spans="1:9" x14ac:dyDescent="0.2">
      <c r="A4" s="2">
        <v>2</v>
      </c>
      <c r="B4" s="1" t="s">
        <v>110</v>
      </c>
      <c r="C4" s="4">
        <v>24103</v>
      </c>
      <c r="D4" s="8">
        <v>11.02</v>
      </c>
      <c r="E4" s="4">
        <v>7523</v>
      </c>
      <c r="F4" s="8">
        <v>7.29</v>
      </c>
      <c r="G4" s="4">
        <v>16542</v>
      </c>
      <c r="H4" s="8">
        <v>14.4</v>
      </c>
      <c r="I4" s="4">
        <v>32</v>
      </c>
    </row>
    <row r="5" spans="1:9" x14ac:dyDescent="0.2">
      <c r="A5" s="2">
        <v>3</v>
      </c>
      <c r="B5" s="1" t="s">
        <v>114</v>
      </c>
      <c r="C5" s="4">
        <v>16115</v>
      </c>
      <c r="D5" s="8">
        <v>7.36</v>
      </c>
      <c r="E5" s="4">
        <v>13575</v>
      </c>
      <c r="F5" s="8">
        <v>13.16</v>
      </c>
      <c r="G5" s="4">
        <v>2537</v>
      </c>
      <c r="H5" s="8">
        <v>2.21</v>
      </c>
      <c r="I5" s="4">
        <v>3</v>
      </c>
    </row>
    <row r="6" spans="1:9" x14ac:dyDescent="0.2">
      <c r="A6" s="2">
        <v>4</v>
      </c>
      <c r="B6" s="1" t="s">
        <v>108</v>
      </c>
      <c r="C6" s="4">
        <v>11068</v>
      </c>
      <c r="D6" s="8">
        <v>5.0599999999999996</v>
      </c>
      <c r="E6" s="4">
        <v>6500</v>
      </c>
      <c r="F6" s="8">
        <v>6.3</v>
      </c>
      <c r="G6" s="4">
        <v>4562</v>
      </c>
      <c r="H6" s="8">
        <v>3.97</v>
      </c>
      <c r="I6" s="4">
        <v>6</v>
      </c>
    </row>
    <row r="7" spans="1:9" x14ac:dyDescent="0.2">
      <c r="A7" s="2">
        <v>5</v>
      </c>
      <c r="B7" s="1" t="s">
        <v>111</v>
      </c>
      <c r="C7" s="4">
        <v>10191</v>
      </c>
      <c r="D7" s="8">
        <v>4.66</v>
      </c>
      <c r="E7" s="4">
        <v>6201</v>
      </c>
      <c r="F7" s="8">
        <v>6.01</v>
      </c>
      <c r="G7" s="4">
        <v>3977</v>
      </c>
      <c r="H7" s="8">
        <v>3.46</v>
      </c>
      <c r="I7" s="4">
        <v>13</v>
      </c>
    </row>
    <row r="8" spans="1:9" x14ac:dyDescent="0.2">
      <c r="A8" s="2">
        <v>6</v>
      </c>
      <c r="B8" s="1" t="s">
        <v>98</v>
      </c>
      <c r="C8" s="4">
        <v>8629</v>
      </c>
      <c r="D8" s="8">
        <v>3.94</v>
      </c>
      <c r="E8" s="4">
        <v>1529</v>
      </c>
      <c r="F8" s="8">
        <v>1.48</v>
      </c>
      <c r="G8" s="4">
        <v>7099</v>
      </c>
      <c r="H8" s="8">
        <v>6.18</v>
      </c>
      <c r="I8" s="4">
        <v>1</v>
      </c>
    </row>
    <row r="9" spans="1:9" x14ac:dyDescent="0.2">
      <c r="A9" s="2">
        <v>7</v>
      </c>
      <c r="B9" s="1" t="s">
        <v>116</v>
      </c>
      <c r="C9" s="4">
        <v>8153</v>
      </c>
      <c r="D9" s="8">
        <v>3.73</v>
      </c>
      <c r="E9" s="4">
        <v>6885</v>
      </c>
      <c r="F9" s="8">
        <v>6.67</v>
      </c>
      <c r="G9" s="4">
        <v>1265</v>
      </c>
      <c r="H9" s="8">
        <v>1.1000000000000001</v>
      </c>
      <c r="I9" s="4">
        <v>3</v>
      </c>
    </row>
    <row r="10" spans="1:9" x14ac:dyDescent="0.2">
      <c r="A10" s="2">
        <v>8</v>
      </c>
      <c r="B10" s="1" t="s">
        <v>106</v>
      </c>
      <c r="C10" s="4">
        <v>7593</v>
      </c>
      <c r="D10" s="8">
        <v>3.47</v>
      </c>
      <c r="E10" s="4">
        <v>5592</v>
      </c>
      <c r="F10" s="8">
        <v>5.42</v>
      </c>
      <c r="G10" s="4">
        <v>1996</v>
      </c>
      <c r="H10" s="8">
        <v>1.74</v>
      </c>
      <c r="I10" s="4">
        <v>5</v>
      </c>
    </row>
    <row r="11" spans="1:9" x14ac:dyDescent="0.2">
      <c r="A11" s="2">
        <v>9</v>
      </c>
      <c r="B11" s="1" t="s">
        <v>115</v>
      </c>
      <c r="C11" s="4">
        <v>6621</v>
      </c>
      <c r="D11" s="8">
        <v>3.03</v>
      </c>
      <c r="E11" s="4">
        <v>4512</v>
      </c>
      <c r="F11" s="8">
        <v>4.37</v>
      </c>
      <c r="G11" s="4">
        <v>1902</v>
      </c>
      <c r="H11" s="8">
        <v>1.66</v>
      </c>
      <c r="I11" s="4">
        <v>47</v>
      </c>
    </row>
    <row r="12" spans="1:9" x14ac:dyDescent="0.2">
      <c r="A12" s="2">
        <v>10</v>
      </c>
      <c r="B12" s="1" t="s">
        <v>100</v>
      </c>
      <c r="C12" s="4">
        <v>6599</v>
      </c>
      <c r="D12" s="8">
        <v>3.02</v>
      </c>
      <c r="E12" s="4">
        <v>1218</v>
      </c>
      <c r="F12" s="8">
        <v>1.18</v>
      </c>
      <c r="G12" s="4">
        <v>5380</v>
      </c>
      <c r="H12" s="8">
        <v>4.68</v>
      </c>
      <c r="I12" s="4">
        <v>1</v>
      </c>
    </row>
    <row r="13" spans="1:9" x14ac:dyDescent="0.2">
      <c r="A13" s="2">
        <v>11</v>
      </c>
      <c r="B13" s="1" t="s">
        <v>99</v>
      </c>
      <c r="C13" s="4">
        <v>6440</v>
      </c>
      <c r="D13" s="8">
        <v>2.94</v>
      </c>
      <c r="E13" s="4">
        <v>1613</v>
      </c>
      <c r="F13" s="8">
        <v>1.56</v>
      </c>
      <c r="G13" s="4">
        <v>4826</v>
      </c>
      <c r="H13" s="8">
        <v>4.2</v>
      </c>
      <c r="I13" s="4">
        <v>1</v>
      </c>
    </row>
    <row r="14" spans="1:9" x14ac:dyDescent="0.2">
      <c r="A14" s="2">
        <v>12</v>
      </c>
      <c r="B14" s="1" t="s">
        <v>101</v>
      </c>
      <c r="C14" s="4">
        <v>5791</v>
      </c>
      <c r="D14" s="8">
        <v>2.65</v>
      </c>
      <c r="E14" s="4">
        <v>2353</v>
      </c>
      <c r="F14" s="8">
        <v>2.2799999999999998</v>
      </c>
      <c r="G14" s="4">
        <v>3438</v>
      </c>
      <c r="H14" s="8">
        <v>2.99</v>
      </c>
      <c r="I14" s="4">
        <v>0</v>
      </c>
    </row>
    <row r="15" spans="1:9" x14ac:dyDescent="0.2">
      <c r="A15" s="2">
        <v>13</v>
      </c>
      <c r="B15" s="1" t="s">
        <v>105</v>
      </c>
      <c r="C15" s="4">
        <v>5273</v>
      </c>
      <c r="D15" s="8">
        <v>2.41</v>
      </c>
      <c r="E15" s="4">
        <v>2653</v>
      </c>
      <c r="F15" s="8">
        <v>2.57</v>
      </c>
      <c r="G15" s="4">
        <v>2617</v>
      </c>
      <c r="H15" s="8">
        <v>2.2799999999999998</v>
      </c>
      <c r="I15" s="4">
        <v>3</v>
      </c>
    </row>
    <row r="16" spans="1:9" x14ac:dyDescent="0.2">
      <c r="A16" s="2">
        <v>14</v>
      </c>
      <c r="B16" s="1" t="s">
        <v>107</v>
      </c>
      <c r="C16" s="4">
        <v>4709</v>
      </c>
      <c r="D16" s="8">
        <v>2.15</v>
      </c>
      <c r="E16" s="4">
        <v>2841</v>
      </c>
      <c r="F16" s="8">
        <v>2.75</v>
      </c>
      <c r="G16" s="4">
        <v>1866</v>
      </c>
      <c r="H16" s="8">
        <v>1.62</v>
      </c>
      <c r="I16" s="4">
        <v>2</v>
      </c>
    </row>
    <row r="17" spans="1:9" x14ac:dyDescent="0.2">
      <c r="A17" s="2">
        <v>15</v>
      </c>
      <c r="B17" s="1" t="s">
        <v>109</v>
      </c>
      <c r="C17" s="4">
        <v>4567</v>
      </c>
      <c r="D17" s="8">
        <v>2.09</v>
      </c>
      <c r="E17" s="4">
        <v>719</v>
      </c>
      <c r="F17" s="8">
        <v>0.7</v>
      </c>
      <c r="G17" s="4">
        <v>3846</v>
      </c>
      <c r="H17" s="8">
        <v>3.35</v>
      </c>
      <c r="I17" s="4">
        <v>2</v>
      </c>
    </row>
    <row r="18" spans="1:9" x14ac:dyDescent="0.2">
      <c r="A18" s="2">
        <v>16</v>
      </c>
      <c r="B18" s="1" t="s">
        <v>104</v>
      </c>
      <c r="C18" s="4">
        <v>4192</v>
      </c>
      <c r="D18" s="8">
        <v>1.92</v>
      </c>
      <c r="E18" s="4">
        <v>715</v>
      </c>
      <c r="F18" s="8">
        <v>0.69</v>
      </c>
      <c r="G18" s="4">
        <v>3476</v>
      </c>
      <c r="H18" s="8">
        <v>3.03</v>
      </c>
      <c r="I18" s="4">
        <v>1</v>
      </c>
    </row>
    <row r="19" spans="1:9" x14ac:dyDescent="0.2">
      <c r="A19" s="2">
        <v>17</v>
      </c>
      <c r="B19" s="1" t="s">
        <v>103</v>
      </c>
      <c r="C19" s="4">
        <v>4101</v>
      </c>
      <c r="D19" s="8">
        <v>1.87</v>
      </c>
      <c r="E19" s="4">
        <v>439</v>
      </c>
      <c r="F19" s="8">
        <v>0.43</v>
      </c>
      <c r="G19" s="4">
        <v>3662</v>
      </c>
      <c r="H19" s="8">
        <v>3.19</v>
      </c>
      <c r="I19" s="4">
        <v>0</v>
      </c>
    </row>
    <row r="20" spans="1:9" x14ac:dyDescent="0.2">
      <c r="A20" s="2">
        <v>18</v>
      </c>
      <c r="B20" s="1" t="s">
        <v>112</v>
      </c>
      <c r="C20" s="4">
        <v>3972</v>
      </c>
      <c r="D20" s="8">
        <v>1.82</v>
      </c>
      <c r="E20" s="4">
        <v>1488</v>
      </c>
      <c r="F20" s="8">
        <v>1.44</v>
      </c>
      <c r="G20" s="4">
        <v>2467</v>
      </c>
      <c r="H20" s="8">
        <v>2.15</v>
      </c>
      <c r="I20" s="4">
        <v>6</v>
      </c>
    </row>
    <row r="21" spans="1:9" x14ac:dyDescent="0.2">
      <c r="A21" s="2">
        <v>19</v>
      </c>
      <c r="B21" s="1" t="s">
        <v>102</v>
      </c>
      <c r="C21" s="4">
        <v>3564</v>
      </c>
      <c r="D21" s="8">
        <v>1.63</v>
      </c>
      <c r="E21" s="4">
        <v>620</v>
      </c>
      <c r="F21" s="8">
        <v>0.6</v>
      </c>
      <c r="G21" s="4">
        <v>2943</v>
      </c>
      <c r="H21" s="8">
        <v>2.56</v>
      </c>
      <c r="I21" s="4">
        <v>1</v>
      </c>
    </row>
    <row r="22" spans="1:9" x14ac:dyDescent="0.2">
      <c r="A22" s="2">
        <v>20</v>
      </c>
      <c r="B22" s="1" t="s">
        <v>117</v>
      </c>
      <c r="C22" s="4">
        <v>3085</v>
      </c>
      <c r="D22" s="8">
        <v>1.41</v>
      </c>
      <c r="E22" s="4">
        <v>41</v>
      </c>
      <c r="F22" s="8">
        <v>0.04</v>
      </c>
      <c r="G22" s="4">
        <v>2806</v>
      </c>
      <c r="H22" s="8">
        <v>2.44</v>
      </c>
      <c r="I22" s="4">
        <v>67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113</v>
      </c>
      <c r="C25" s="4">
        <v>12371</v>
      </c>
      <c r="D25" s="8">
        <v>12.67</v>
      </c>
      <c r="E25" s="4">
        <v>10489</v>
      </c>
      <c r="F25" s="8">
        <v>24.32</v>
      </c>
      <c r="G25" s="4">
        <v>1878</v>
      </c>
      <c r="H25" s="8">
        <v>3.46</v>
      </c>
      <c r="I25" s="4">
        <v>4</v>
      </c>
    </row>
    <row r="26" spans="1:9" x14ac:dyDescent="0.2">
      <c r="A26" s="2">
        <v>2</v>
      </c>
      <c r="B26" s="1" t="s">
        <v>110</v>
      </c>
      <c r="C26" s="4">
        <v>10315</v>
      </c>
      <c r="D26" s="8">
        <v>10.56</v>
      </c>
      <c r="E26" s="4">
        <v>3264</v>
      </c>
      <c r="F26" s="8">
        <v>7.57</v>
      </c>
      <c r="G26" s="4">
        <v>7035</v>
      </c>
      <c r="H26" s="8">
        <v>12.96</v>
      </c>
      <c r="I26" s="4">
        <v>15</v>
      </c>
    </row>
    <row r="27" spans="1:9" x14ac:dyDescent="0.2">
      <c r="A27" s="2">
        <v>3</v>
      </c>
      <c r="B27" s="1" t="s">
        <v>111</v>
      </c>
      <c r="C27" s="4">
        <v>7121</v>
      </c>
      <c r="D27" s="8">
        <v>7.29</v>
      </c>
      <c r="E27" s="4">
        <v>4453</v>
      </c>
      <c r="F27" s="8">
        <v>10.32</v>
      </c>
      <c r="G27" s="4">
        <v>2658</v>
      </c>
      <c r="H27" s="8">
        <v>4.9000000000000004</v>
      </c>
      <c r="I27" s="4">
        <v>10</v>
      </c>
    </row>
    <row r="28" spans="1:9" x14ac:dyDescent="0.2">
      <c r="A28" s="2">
        <v>4</v>
      </c>
      <c r="B28" s="1" t="s">
        <v>114</v>
      </c>
      <c r="C28" s="4">
        <v>5658</v>
      </c>
      <c r="D28" s="8">
        <v>5.79</v>
      </c>
      <c r="E28" s="4">
        <v>4578</v>
      </c>
      <c r="F28" s="8">
        <v>10.61</v>
      </c>
      <c r="G28" s="4">
        <v>1080</v>
      </c>
      <c r="H28" s="8">
        <v>1.99</v>
      </c>
      <c r="I28" s="4">
        <v>0</v>
      </c>
    </row>
    <row r="29" spans="1:9" x14ac:dyDescent="0.2">
      <c r="A29" s="2">
        <v>5</v>
      </c>
      <c r="B29" s="1" t="s">
        <v>108</v>
      </c>
      <c r="C29" s="4">
        <v>4829</v>
      </c>
      <c r="D29" s="8">
        <v>4.95</v>
      </c>
      <c r="E29" s="4">
        <v>2669</v>
      </c>
      <c r="F29" s="8">
        <v>6.19</v>
      </c>
      <c r="G29" s="4">
        <v>2159</v>
      </c>
      <c r="H29" s="8">
        <v>3.98</v>
      </c>
      <c r="I29" s="4">
        <v>1</v>
      </c>
    </row>
    <row r="30" spans="1:9" x14ac:dyDescent="0.2">
      <c r="A30" s="2">
        <v>6</v>
      </c>
      <c r="B30" s="1" t="s">
        <v>116</v>
      </c>
      <c r="C30" s="4">
        <v>3256</v>
      </c>
      <c r="D30" s="8">
        <v>3.33</v>
      </c>
      <c r="E30" s="4">
        <v>2709</v>
      </c>
      <c r="F30" s="8">
        <v>6.28</v>
      </c>
      <c r="G30" s="4">
        <v>546</v>
      </c>
      <c r="H30" s="8">
        <v>1.01</v>
      </c>
      <c r="I30" s="4">
        <v>1</v>
      </c>
    </row>
    <row r="31" spans="1:9" x14ac:dyDescent="0.2">
      <c r="A31" s="2">
        <v>7</v>
      </c>
      <c r="B31" s="1" t="s">
        <v>106</v>
      </c>
      <c r="C31" s="4">
        <v>3205</v>
      </c>
      <c r="D31" s="8">
        <v>3.28</v>
      </c>
      <c r="E31" s="4">
        <v>2283</v>
      </c>
      <c r="F31" s="8">
        <v>5.29</v>
      </c>
      <c r="G31" s="4">
        <v>922</v>
      </c>
      <c r="H31" s="8">
        <v>1.7</v>
      </c>
      <c r="I31" s="4">
        <v>0</v>
      </c>
    </row>
    <row r="32" spans="1:9" x14ac:dyDescent="0.2">
      <c r="A32" s="2">
        <v>8</v>
      </c>
      <c r="B32" s="1" t="s">
        <v>105</v>
      </c>
      <c r="C32" s="4">
        <v>2809</v>
      </c>
      <c r="D32" s="8">
        <v>2.88</v>
      </c>
      <c r="E32" s="4">
        <v>1222</v>
      </c>
      <c r="F32" s="8">
        <v>2.83</v>
      </c>
      <c r="G32" s="4">
        <v>1586</v>
      </c>
      <c r="H32" s="8">
        <v>2.92</v>
      </c>
      <c r="I32" s="4">
        <v>1</v>
      </c>
    </row>
    <row r="33" spans="1:9" x14ac:dyDescent="0.2">
      <c r="A33" s="2">
        <v>9</v>
      </c>
      <c r="B33" s="1" t="s">
        <v>98</v>
      </c>
      <c r="C33" s="4">
        <v>2535</v>
      </c>
      <c r="D33" s="8">
        <v>2.6</v>
      </c>
      <c r="E33" s="4">
        <v>365</v>
      </c>
      <c r="F33" s="8">
        <v>0.85</v>
      </c>
      <c r="G33" s="4">
        <v>2169</v>
      </c>
      <c r="H33" s="8">
        <v>4</v>
      </c>
      <c r="I33" s="4">
        <v>1</v>
      </c>
    </row>
    <row r="34" spans="1:9" x14ac:dyDescent="0.2">
      <c r="A34" s="2">
        <v>10</v>
      </c>
      <c r="B34" s="1" t="s">
        <v>104</v>
      </c>
      <c r="C34" s="4">
        <v>2433</v>
      </c>
      <c r="D34" s="8">
        <v>2.4900000000000002</v>
      </c>
      <c r="E34" s="4">
        <v>360</v>
      </c>
      <c r="F34" s="8">
        <v>0.83</v>
      </c>
      <c r="G34" s="4">
        <v>2073</v>
      </c>
      <c r="H34" s="8">
        <v>3.82</v>
      </c>
      <c r="I34" s="4">
        <v>0</v>
      </c>
    </row>
    <row r="35" spans="1:9" x14ac:dyDescent="0.2">
      <c r="A35" s="2">
        <v>11</v>
      </c>
      <c r="B35" s="1" t="s">
        <v>100</v>
      </c>
      <c r="C35" s="4">
        <v>2370</v>
      </c>
      <c r="D35" s="8">
        <v>2.4300000000000002</v>
      </c>
      <c r="E35" s="4">
        <v>336</v>
      </c>
      <c r="F35" s="8">
        <v>0.78</v>
      </c>
      <c r="G35" s="4">
        <v>2033</v>
      </c>
      <c r="H35" s="8">
        <v>3.75</v>
      </c>
      <c r="I35" s="4">
        <v>1</v>
      </c>
    </row>
    <row r="36" spans="1:9" x14ac:dyDescent="0.2">
      <c r="A36" s="2">
        <v>12</v>
      </c>
      <c r="B36" s="1" t="s">
        <v>109</v>
      </c>
      <c r="C36" s="4">
        <v>2345</v>
      </c>
      <c r="D36" s="8">
        <v>2.4</v>
      </c>
      <c r="E36" s="4">
        <v>288</v>
      </c>
      <c r="F36" s="8">
        <v>0.67</v>
      </c>
      <c r="G36" s="4">
        <v>2056</v>
      </c>
      <c r="H36" s="8">
        <v>3.79</v>
      </c>
      <c r="I36" s="4">
        <v>1</v>
      </c>
    </row>
    <row r="37" spans="1:9" x14ac:dyDescent="0.2">
      <c r="A37" s="2">
        <v>13</v>
      </c>
      <c r="B37" s="1" t="s">
        <v>103</v>
      </c>
      <c r="C37" s="4">
        <v>2326</v>
      </c>
      <c r="D37" s="8">
        <v>2.38</v>
      </c>
      <c r="E37" s="4">
        <v>216</v>
      </c>
      <c r="F37" s="8">
        <v>0.5</v>
      </c>
      <c r="G37" s="4">
        <v>2110</v>
      </c>
      <c r="H37" s="8">
        <v>3.89</v>
      </c>
      <c r="I37" s="4">
        <v>0</v>
      </c>
    </row>
    <row r="38" spans="1:9" x14ac:dyDescent="0.2">
      <c r="A38" s="2">
        <v>14</v>
      </c>
      <c r="B38" s="1" t="s">
        <v>112</v>
      </c>
      <c r="C38" s="4">
        <v>2171</v>
      </c>
      <c r="D38" s="8">
        <v>2.2200000000000002</v>
      </c>
      <c r="E38" s="4">
        <v>770</v>
      </c>
      <c r="F38" s="8">
        <v>1.79</v>
      </c>
      <c r="G38" s="4">
        <v>1393</v>
      </c>
      <c r="H38" s="8">
        <v>2.57</v>
      </c>
      <c r="I38" s="4">
        <v>4</v>
      </c>
    </row>
    <row r="39" spans="1:9" x14ac:dyDescent="0.2">
      <c r="A39" s="2">
        <v>15</v>
      </c>
      <c r="B39" s="1" t="s">
        <v>99</v>
      </c>
      <c r="C39" s="4">
        <v>2146</v>
      </c>
      <c r="D39" s="8">
        <v>2.2000000000000002</v>
      </c>
      <c r="E39" s="4">
        <v>422</v>
      </c>
      <c r="F39" s="8">
        <v>0.98</v>
      </c>
      <c r="G39" s="4">
        <v>1724</v>
      </c>
      <c r="H39" s="8">
        <v>3.18</v>
      </c>
      <c r="I39" s="4">
        <v>0</v>
      </c>
    </row>
    <row r="40" spans="1:9" x14ac:dyDescent="0.2">
      <c r="A40" s="2">
        <v>16</v>
      </c>
      <c r="B40" s="1" t="s">
        <v>101</v>
      </c>
      <c r="C40" s="4">
        <v>2106</v>
      </c>
      <c r="D40" s="8">
        <v>2.16</v>
      </c>
      <c r="E40" s="4">
        <v>886</v>
      </c>
      <c r="F40" s="8">
        <v>2.0499999999999998</v>
      </c>
      <c r="G40" s="4">
        <v>1220</v>
      </c>
      <c r="H40" s="8">
        <v>2.25</v>
      </c>
      <c r="I40" s="4">
        <v>0</v>
      </c>
    </row>
    <row r="41" spans="1:9" x14ac:dyDescent="0.2">
      <c r="A41" s="2">
        <v>17</v>
      </c>
      <c r="B41" s="1" t="s">
        <v>115</v>
      </c>
      <c r="C41" s="4">
        <v>2102</v>
      </c>
      <c r="D41" s="8">
        <v>2.15</v>
      </c>
      <c r="E41" s="4">
        <v>1265</v>
      </c>
      <c r="F41" s="8">
        <v>2.93</v>
      </c>
      <c r="G41" s="4">
        <v>798</v>
      </c>
      <c r="H41" s="8">
        <v>1.47</v>
      </c>
      <c r="I41" s="4">
        <v>12</v>
      </c>
    </row>
    <row r="42" spans="1:9" x14ac:dyDescent="0.2">
      <c r="A42" s="2">
        <v>18</v>
      </c>
      <c r="B42" s="1" t="s">
        <v>102</v>
      </c>
      <c r="C42" s="4">
        <v>1919</v>
      </c>
      <c r="D42" s="8">
        <v>1.97</v>
      </c>
      <c r="E42" s="4">
        <v>268</v>
      </c>
      <c r="F42" s="8">
        <v>0.62</v>
      </c>
      <c r="G42" s="4">
        <v>1650</v>
      </c>
      <c r="H42" s="8">
        <v>3.04</v>
      </c>
      <c r="I42" s="4">
        <v>1</v>
      </c>
    </row>
    <row r="43" spans="1:9" x14ac:dyDescent="0.2">
      <c r="A43" s="2">
        <v>19</v>
      </c>
      <c r="B43" s="1" t="s">
        <v>119</v>
      </c>
      <c r="C43" s="4">
        <v>1734</v>
      </c>
      <c r="D43" s="8">
        <v>1.78</v>
      </c>
      <c r="E43" s="4">
        <v>158</v>
      </c>
      <c r="F43" s="8">
        <v>0.37</v>
      </c>
      <c r="G43" s="4">
        <v>1543</v>
      </c>
      <c r="H43" s="8">
        <v>2.84</v>
      </c>
      <c r="I43" s="4">
        <v>30</v>
      </c>
    </row>
    <row r="44" spans="1:9" x14ac:dyDescent="0.2">
      <c r="A44" s="2">
        <v>20</v>
      </c>
      <c r="B44" s="1" t="s">
        <v>118</v>
      </c>
      <c r="C44" s="4">
        <v>1571</v>
      </c>
      <c r="D44" s="8">
        <v>1.61</v>
      </c>
      <c r="E44" s="4">
        <v>254</v>
      </c>
      <c r="F44" s="8">
        <v>0.59</v>
      </c>
      <c r="G44" s="4">
        <v>1317</v>
      </c>
      <c r="H44" s="8">
        <v>2.4300000000000002</v>
      </c>
      <c r="I44" s="4">
        <v>0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113</v>
      </c>
      <c r="C47" s="4">
        <v>383</v>
      </c>
      <c r="D47" s="8">
        <v>14.17</v>
      </c>
      <c r="E47" s="4">
        <v>315</v>
      </c>
      <c r="F47" s="8">
        <v>25.38</v>
      </c>
      <c r="G47" s="4">
        <v>68</v>
      </c>
      <c r="H47" s="8">
        <v>4.67</v>
      </c>
      <c r="I47" s="4">
        <v>0</v>
      </c>
    </row>
    <row r="48" spans="1:9" x14ac:dyDescent="0.2">
      <c r="A48" s="2">
        <v>2</v>
      </c>
      <c r="B48" s="1" t="s">
        <v>110</v>
      </c>
      <c r="C48" s="4">
        <v>373</v>
      </c>
      <c r="D48" s="8">
        <v>13.8</v>
      </c>
      <c r="E48" s="4">
        <v>134</v>
      </c>
      <c r="F48" s="8">
        <v>10.8</v>
      </c>
      <c r="G48" s="4">
        <v>239</v>
      </c>
      <c r="H48" s="8">
        <v>16.41</v>
      </c>
      <c r="I48" s="4">
        <v>0</v>
      </c>
    </row>
    <row r="49" spans="1:9" x14ac:dyDescent="0.2">
      <c r="A49" s="2">
        <v>3</v>
      </c>
      <c r="B49" s="1" t="s">
        <v>114</v>
      </c>
      <c r="C49" s="4">
        <v>202</v>
      </c>
      <c r="D49" s="8">
        <v>7.47</v>
      </c>
      <c r="E49" s="4">
        <v>144</v>
      </c>
      <c r="F49" s="8">
        <v>11.6</v>
      </c>
      <c r="G49" s="4">
        <v>58</v>
      </c>
      <c r="H49" s="8">
        <v>3.98</v>
      </c>
      <c r="I49" s="4">
        <v>0</v>
      </c>
    </row>
    <row r="50" spans="1:9" x14ac:dyDescent="0.2">
      <c r="A50" s="2">
        <v>4</v>
      </c>
      <c r="B50" s="1" t="s">
        <v>108</v>
      </c>
      <c r="C50" s="4">
        <v>150</v>
      </c>
      <c r="D50" s="8">
        <v>5.55</v>
      </c>
      <c r="E50" s="4">
        <v>94</v>
      </c>
      <c r="F50" s="8">
        <v>7.57</v>
      </c>
      <c r="G50" s="4">
        <v>56</v>
      </c>
      <c r="H50" s="8">
        <v>3.85</v>
      </c>
      <c r="I50" s="4">
        <v>0</v>
      </c>
    </row>
    <row r="51" spans="1:9" x14ac:dyDescent="0.2">
      <c r="A51" s="2">
        <v>5</v>
      </c>
      <c r="B51" s="1" t="s">
        <v>116</v>
      </c>
      <c r="C51" s="4">
        <v>111</v>
      </c>
      <c r="D51" s="8">
        <v>4.1100000000000003</v>
      </c>
      <c r="E51" s="4">
        <v>93</v>
      </c>
      <c r="F51" s="8">
        <v>7.49</v>
      </c>
      <c r="G51" s="4">
        <v>18</v>
      </c>
      <c r="H51" s="8">
        <v>1.24</v>
      </c>
      <c r="I51" s="4">
        <v>0</v>
      </c>
    </row>
    <row r="52" spans="1:9" x14ac:dyDescent="0.2">
      <c r="A52" s="2">
        <v>6</v>
      </c>
      <c r="B52" s="1" t="s">
        <v>111</v>
      </c>
      <c r="C52" s="4">
        <v>108</v>
      </c>
      <c r="D52" s="8">
        <v>4</v>
      </c>
      <c r="E52" s="4">
        <v>68</v>
      </c>
      <c r="F52" s="8">
        <v>5.48</v>
      </c>
      <c r="G52" s="4">
        <v>40</v>
      </c>
      <c r="H52" s="8">
        <v>2.75</v>
      </c>
      <c r="I52" s="4">
        <v>0</v>
      </c>
    </row>
    <row r="53" spans="1:9" x14ac:dyDescent="0.2">
      <c r="A53" s="2">
        <v>7</v>
      </c>
      <c r="B53" s="1" t="s">
        <v>100</v>
      </c>
      <c r="C53" s="4">
        <v>99</v>
      </c>
      <c r="D53" s="8">
        <v>3.66</v>
      </c>
      <c r="E53" s="4">
        <v>11</v>
      </c>
      <c r="F53" s="8">
        <v>0.89</v>
      </c>
      <c r="G53" s="4">
        <v>88</v>
      </c>
      <c r="H53" s="8">
        <v>6.04</v>
      </c>
      <c r="I53" s="4">
        <v>0</v>
      </c>
    </row>
    <row r="54" spans="1:9" x14ac:dyDescent="0.2">
      <c r="A54" s="2">
        <v>8</v>
      </c>
      <c r="B54" s="1" t="s">
        <v>106</v>
      </c>
      <c r="C54" s="4">
        <v>95</v>
      </c>
      <c r="D54" s="8">
        <v>3.51</v>
      </c>
      <c r="E54" s="4">
        <v>52</v>
      </c>
      <c r="F54" s="8">
        <v>4.1900000000000004</v>
      </c>
      <c r="G54" s="4">
        <v>43</v>
      </c>
      <c r="H54" s="8">
        <v>2.95</v>
      </c>
      <c r="I54" s="4">
        <v>0</v>
      </c>
    </row>
    <row r="55" spans="1:9" x14ac:dyDescent="0.2">
      <c r="A55" s="2">
        <v>9</v>
      </c>
      <c r="B55" s="1" t="s">
        <v>115</v>
      </c>
      <c r="C55" s="4">
        <v>82</v>
      </c>
      <c r="D55" s="8">
        <v>3.03</v>
      </c>
      <c r="E55" s="4">
        <v>46</v>
      </c>
      <c r="F55" s="8">
        <v>3.71</v>
      </c>
      <c r="G55" s="4">
        <v>35</v>
      </c>
      <c r="H55" s="8">
        <v>2.4</v>
      </c>
      <c r="I55" s="4">
        <v>0</v>
      </c>
    </row>
    <row r="56" spans="1:9" x14ac:dyDescent="0.2">
      <c r="A56" s="2">
        <v>10</v>
      </c>
      <c r="B56" s="1" t="s">
        <v>99</v>
      </c>
      <c r="C56" s="4">
        <v>76</v>
      </c>
      <c r="D56" s="8">
        <v>2.81</v>
      </c>
      <c r="E56" s="4">
        <v>15</v>
      </c>
      <c r="F56" s="8">
        <v>1.21</v>
      </c>
      <c r="G56" s="4">
        <v>61</v>
      </c>
      <c r="H56" s="8">
        <v>4.1900000000000004</v>
      </c>
      <c r="I56" s="4">
        <v>0</v>
      </c>
    </row>
    <row r="57" spans="1:9" x14ac:dyDescent="0.2">
      <c r="A57" s="2">
        <v>11</v>
      </c>
      <c r="B57" s="1" t="s">
        <v>98</v>
      </c>
      <c r="C57" s="4">
        <v>74</v>
      </c>
      <c r="D57" s="8">
        <v>2.74</v>
      </c>
      <c r="E57" s="4">
        <v>8</v>
      </c>
      <c r="F57" s="8">
        <v>0.64</v>
      </c>
      <c r="G57" s="4">
        <v>66</v>
      </c>
      <c r="H57" s="8">
        <v>4.53</v>
      </c>
      <c r="I57" s="4">
        <v>0</v>
      </c>
    </row>
    <row r="58" spans="1:9" x14ac:dyDescent="0.2">
      <c r="A58" s="2">
        <v>12</v>
      </c>
      <c r="B58" s="1" t="s">
        <v>105</v>
      </c>
      <c r="C58" s="4">
        <v>65</v>
      </c>
      <c r="D58" s="8">
        <v>2.4</v>
      </c>
      <c r="E58" s="4">
        <v>28</v>
      </c>
      <c r="F58" s="8">
        <v>2.2599999999999998</v>
      </c>
      <c r="G58" s="4">
        <v>37</v>
      </c>
      <c r="H58" s="8">
        <v>2.54</v>
      </c>
      <c r="I58" s="4">
        <v>0</v>
      </c>
    </row>
    <row r="59" spans="1:9" x14ac:dyDescent="0.2">
      <c r="A59" s="2">
        <v>13</v>
      </c>
      <c r="B59" s="1" t="s">
        <v>103</v>
      </c>
      <c r="C59" s="4">
        <v>62</v>
      </c>
      <c r="D59" s="8">
        <v>2.29</v>
      </c>
      <c r="E59" s="4">
        <v>6</v>
      </c>
      <c r="F59" s="8">
        <v>0.48</v>
      </c>
      <c r="G59" s="4">
        <v>56</v>
      </c>
      <c r="H59" s="8">
        <v>3.85</v>
      </c>
      <c r="I59" s="4">
        <v>0</v>
      </c>
    </row>
    <row r="60" spans="1:9" x14ac:dyDescent="0.2">
      <c r="A60" s="2">
        <v>14</v>
      </c>
      <c r="B60" s="1" t="s">
        <v>121</v>
      </c>
      <c r="C60" s="4">
        <v>60</v>
      </c>
      <c r="D60" s="8">
        <v>2.2200000000000002</v>
      </c>
      <c r="E60" s="4">
        <v>20</v>
      </c>
      <c r="F60" s="8">
        <v>1.61</v>
      </c>
      <c r="G60" s="4">
        <v>40</v>
      </c>
      <c r="H60" s="8">
        <v>2.75</v>
      </c>
      <c r="I60" s="4">
        <v>0</v>
      </c>
    </row>
    <row r="61" spans="1:9" x14ac:dyDescent="0.2">
      <c r="A61" s="2">
        <v>15</v>
      </c>
      <c r="B61" s="1" t="s">
        <v>104</v>
      </c>
      <c r="C61" s="4">
        <v>56</v>
      </c>
      <c r="D61" s="8">
        <v>2.0699999999999998</v>
      </c>
      <c r="E61" s="4">
        <v>9</v>
      </c>
      <c r="F61" s="8">
        <v>0.73</v>
      </c>
      <c r="G61" s="4">
        <v>47</v>
      </c>
      <c r="H61" s="8">
        <v>3.23</v>
      </c>
      <c r="I61" s="4">
        <v>0</v>
      </c>
    </row>
    <row r="62" spans="1:9" x14ac:dyDescent="0.2">
      <c r="A62" s="2">
        <v>16</v>
      </c>
      <c r="B62" s="1" t="s">
        <v>109</v>
      </c>
      <c r="C62" s="4">
        <v>48</v>
      </c>
      <c r="D62" s="8">
        <v>1.78</v>
      </c>
      <c r="E62" s="4">
        <v>9</v>
      </c>
      <c r="F62" s="8">
        <v>0.73</v>
      </c>
      <c r="G62" s="4">
        <v>39</v>
      </c>
      <c r="H62" s="8">
        <v>2.68</v>
      </c>
      <c r="I62" s="4">
        <v>0</v>
      </c>
    </row>
    <row r="63" spans="1:9" x14ac:dyDescent="0.2">
      <c r="A63" s="2">
        <v>17</v>
      </c>
      <c r="B63" s="1" t="s">
        <v>112</v>
      </c>
      <c r="C63" s="4">
        <v>47</v>
      </c>
      <c r="D63" s="8">
        <v>1.74</v>
      </c>
      <c r="E63" s="4">
        <v>16</v>
      </c>
      <c r="F63" s="8">
        <v>1.29</v>
      </c>
      <c r="G63" s="4">
        <v>31</v>
      </c>
      <c r="H63" s="8">
        <v>2.13</v>
      </c>
      <c r="I63" s="4">
        <v>0</v>
      </c>
    </row>
    <row r="64" spans="1:9" x14ac:dyDescent="0.2">
      <c r="A64" s="2">
        <v>18</v>
      </c>
      <c r="B64" s="1" t="s">
        <v>117</v>
      </c>
      <c r="C64" s="4">
        <v>45</v>
      </c>
      <c r="D64" s="8">
        <v>1.66</v>
      </c>
      <c r="E64" s="4">
        <v>0</v>
      </c>
      <c r="F64" s="8">
        <v>0</v>
      </c>
      <c r="G64" s="4">
        <v>43</v>
      </c>
      <c r="H64" s="8">
        <v>2.95</v>
      </c>
      <c r="I64" s="4">
        <v>2</v>
      </c>
    </row>
    <row r="65" spans="1:9" x14ac:dyDescent="0.2">
      <c r="A65" s="2">
        <v>19</v>
      </c>
      <c r="B65" s="1" t="s">
        <v>120</v>
      </c>
      <c r="C65" s="4">
        <v>44</v>
      </c>
      <c r="D65" s="8">
        <v>1.63</v>
      </c>
      <c r="E65" s="4">
        <v>25</v>
      </c>
      <c r="F65" s="8">
        <v>2.0099999999999998</v>
      </c>
      <c r="G65" s="4">
        <v>19</v>
      </c>
      <c r="H65" s="8">
        <v>1.3</v>
      </c>
      <c r="I65" s="4">
        <v>0</v>
      </c>
    </row>
    <row r="66" spans="1:9" x14ac:dyDescent="0.2">
      <c r="A66" s="2">
        <v>20</v>
      </c>
      <c r="B66" s="1" t="s">
        <v>107</v>
      </c>
      <c r="C66" s="4">
        <v>40</v>
      </c>
      <c r="D66" s="8">
        <v>1.48</v>
      </c>
      <c r="E66" s="4">
        <v>23</v>
      </c>
      <c r="F66" s="8">
        <v>1.85</v>
      </c>
      <c r="G66" s="4">
        <v>17</v>
      </c>
      <c r="H66" s="8">
        <v>1.17</v>
      </c>
      <c r="I66" s="4">
        <v>0</v>
      </c>
    </row>
    <row r="67" spans="1:9" x14ac:dyDescent="0.2">
      <c r="A67" s="2">
        <v>20</v>
      </c>
      <c r="B67" s="1" t="s">
        <v>119</v>
      </c>
      <c r="C67" s="4">
        <v>40</v>
      </c>
      <c r="D67" s="8">
        <v>1.48</v>
      </c>
      <c r="E67" s="4">
        <v>9</v>
      </c>
      <c r="F67" s="8">
        <v>0.73</v>
      </c>
      <c r="G67" s="4">
        <v>29</v>
      </c>
      <c r="H67" s="8">
        <v>1.99</v>
      </c>
      <c r="I67" s="4">
        <v>2</v>
      </c>
    </row>
    <row r="68" spans="1:9" x14ac:dyDescent="0.2">
      <c r="A68" s="1"/>
      <c r="C68" s="4"/>
      <c r="D68" s="8"/>
      <c r="E68" s="4"/>
      <c r="F68" s="8"/>
      <c r="G68" s="4"/>
      <c r="H68" s="8"/>
      <c r="I68" s="4"/>
    </row>
    <row r="69" spans="1:9" x14ac:dyDescent="0.2">
      <c r="A69" s="1" t="s">
        <v>3</v>
      </c>
      <c r="C69" s="4"/>
      <c r="D69" s="8"/>
      <c r="E69" s="4"/>
      <c r="F69" s="8"/>
      <c r="G69" s="4"/>
      <c r="H69" s="8"/>
      <c r="I69" s="4"/>
    </row>
    <row r="70" spans="1:9" x14ac:dyDescent="0.2">
      <c r="A70" s="2">
        <v>1</v>
      </c>
      <c r="B70" s="1" t="s">
        <v>113</v>
      </c>
      <c r="C70" s="4">
        <v>414</v>
      </c>
      <c r="D70" s="8">
        <v>16.07</v>
      </c>
      <c r="E70" s="4">
        <v>342</v>
      </c>
      <c r="F70" s="8">
        <v>31.55</v>
      </c>
      <c r="G70" s="4">
        <v>72</v>
      </c>
      <c r="H70" s="8">
        <v>4.8600000000000003</v>
      </c>
      <c r="I70" s="4">
        <v>0</v>
      </c>
    </row>
    <row r="71" spans="1:9" x14ac:dyDescent="0.2">
      <c r="A71" s="2">
        <v>2</v>
      </c>
      <c r="B71" s="1" t="s">
        <v>110</v>
      </c>
      <c r="C71" s="4">
        <v>264</v>
      </c>
      <c r="D71" s="8">
        <v>10.24</v>
      </c>
      <c r="E71" s="4">
        <v>92</v>
      </c>
      <c r="F71" s="8">
        <v>8.49</v>
      </c>
      <c r="G71" s="4">
        <v>170</v>
      </c>
      <c r="H71" s="8">
        <v>11.49</v>
      </c>
      <c r="I71" s="4">
        <v>2</v>
      </c>
    </row>
    <row r="72" spans="1:9" x14ac:dyDescent="0.2">
      <c r="A72" s="2">
        <v>3</v>
      </c>
      <c r="B72" s="1" t="s">
        <v>122</v>
      </c>
      <c r="C72" s="4">
        <v>171</v>
      </c>
      <c r="D72" s="8">
        <v>6.64</v>
      </c>
      <c r="E72" s="4">
        <v>23</v>
      </c>
      <c r="F72" s="8">
        <v>2.12</v>
      </c>
      <c r="G72" s="4">
        <v>147</v>
      </c>
      <c r="H72" s="8">
        <v>9.93</v>
      </c>
      <c r="I72" s="4">
        <v>1</v>
      </c>
    </row>
    <row r="73" spans="1:9" x14ac:dyDescent="0.2">
      <c r="A73" s="2">
        <v>4</v>
      </c>
      <c r="B73" s="1" t="s">
        <v>114</v>
      </c>
      <c r="C73" s="4">
        <v>161</v>
      </c>
      <c r="D73" s="8">
        <v>6.25</v>
      </c>
      <c r="E73" s="4">
        <v>125</v>
      </c>
      <c r="F73" s="8">
        <v>11.53</v>
      </c>
      <c r="G73" s="4">
        <v>36</v>
      </c>
      <c r="H73" s="8">
        <v>2.4300000000000002</v>
      </c>
      <c r="I73" s="4">
        <v>0</v>
      </c>
    </row>
    <row r="74" spans="1:9" x14ac:dyDescent="0.2">
      <c r="A74" s="2">
        <v>5</v>
      </c>
      <c r="B74" s="1" t="s">
        <v>111</v>
      </c>
      <c r="C74" s="4">
        <v>137</v>
      </c>
      <c r="D74" s="8">
        <v>5.32</v>
      </c>
      <c r="E74" s="4">
        <v>73</v>
      </c>
      <c r="F74" s="8">
        <v>6.73</v>
      </c>
      <c r="G74" s="4">
        <v>64</v>
      </c>
      <c r="H74" s="8">
        <v>4.32</v>
      </c>
      <c r="I74" s="4">
        <v>0</v>
      </c>
    </row>
    <row r="75" spans="1:9" x14ac:dyDescent="0.2">
      <c r="A75" s="2">
        <v>6</v>
      </c>
      <c r="B75" s="1" t="s">
        <v>108</v>
      </c>
      <c r="C75" s="4">
        <v>116</v>
      </c>
      <c r="D75" s="8">
        <v>4.5</v>
      </c>
      <c r="E75" s="4">
        <v>61</v>
      </c>
      <c r="F75" s="8">
        <v>5.63</v>
      </c>
      <c r="G75" s="4">
        <v>55</v>
      </c>
      <c r="H75" s="8">
        <v>3.72</v>
      </c>
      <c r="I75" s="4">
        <v>0</v>
      </c>
    </row>
    <row r="76" spans="1:9" x14ac:dyDescent="0.2">
      <c r="A76" s="2">
        <v>7</v>
      </c>
      <c r="B76" s="1" t="s">
        <v>116</v>
      </c>
      <c r="C76" s="4">
        <v>92</v>
      </c>
      <c r="D76" s="8">
        <v>3.57</v>
      </c>
      <c r="E76" s="4">
        <v>79</v>
      </c>
      <c r="F76" s="8">
        <v>7.29</v>
      </c>
      <c r="G76" s="4">
        <v>13</v>
      </c>
      <c r="H76" s="8">
        <v>0.88</v>
      </c>
      <c r="I76" s="4">
        <v>0</v>
      </c>
    </row>
    <row r="77" spans="1:9" x14ac:dyDescent="0.2">
      <c r="A77" s="2">
        <v>8</v>
      </c>
      <c r="B77" s="1" t="s">
        <v>103</v>
      </c>
      <c r="C77" s="4">
        <v>86</v>
      </c>
      <c r="D77" s="8">
        <v>3.34</v>
      </c>
      <c r="E77" s="4">
        <v>12</v>
      </c>
      <c r="F77" s="8">
        <v>1.1100000000000001</v>
      </c>
      <c r="G77" s="4">
        <v>74</v>
      </c>
      <c r="H77" s="8">
        <v>5</v>
      </c>
      <c r="I77" s="4">
        <v>0</v>
      </c>
    </row>
    <row r="78" spans="1:9" x14ac:dyDescent="0.2">
      <c r="A78" s="2">
        <v>9</v>
      </c>
      <c r="B78" s="1" t="s">
        <v>115</v>
      </c>
      <c r="C78" s="4">
        <v>79</v>
      </c>
      <c r="D78" s="8">
        <v>3.07</v>
      </c>
      <c r="E78" s="4">
        <v>45</v>
      </c>
      <c r="F78" s="8">
        <v>4.1500000000000004</v>
      </c>
      <c r="G78" s="4">
        <v>33</v>
      </c>
      <c r="H78" s="8">
        <v>2.23</v>
      </c>
      <c r="I78" s="4">
        <v>0</v>
      </c>
    </row>
    <row r="79" spans="1:9" x14ac:dyDescent="0.2">
      <c r="A79" s="2">
        <v>10</v>
      </c>
      <c r="B79" s="1" t="s">
        <v>106</v>
      </c>
      <c r="C79" s="4">
        <v>74</v>
      </c>
      <c r="D79" s="8">
        <v>2.87</v>
      </c>
      <c r="E79" s="4">
        <v>46</v>
      </c>
      <c r="F79" s="8">
        <v>4.24</v>
      </c>
      <c r="G79" s="4">
        <v>28</v>
      </c>
      <c r="H79" s="8">
        <v>1.89</v>
      </c>
      <c r="I79" s="4">
        <v>0</v>
      </c>
    </row>
    <row r="80" spans="1:9" x14ac:dyDescent="0.2">
      <c r="A80" s="2">
        <v>11</v>
      </c>
      <c r="B80" s="1" t="s">
        <v>100</v>
      </c>
      <c r="C80" s="4">
        <v>61</v>
      </c>
      <c r="D80" s="8">
        <v>2.37</v>
      </c>
      <c r="E80" s="4">
        <v>6</v>
      </c>
      <c r="F80" s="8">
        <v>0.55000000000000004</v>
      </c>
      <c r="G80" s="4">
        <v>55</v>
      </c>
      <c r="H80" s="8">
        <v>3.72</v>
      </c>
      <c r="I80" s="4">
        <v>0</v>
      </c>
    </row>
    <row r="81" spans="1:9" x14ac:dyDescent="0.2">
      <c r="A81" s="2">
        <v>12</v>
      </c>
      <c r="B81" s="1" t="s">
        <v>102</v>
      </c>
      <c r="C81" s="4">
        <v>60</v>
      </c>
      <c r="D81" s="8">
        <v>2.33</v>
      </c>
      <c r="E81" s="4">
        <v>7</v>
      </c>
      <c r="F81" s="8">
        <v>0.65</v>
      </c>
      <c r="G81" s="4">
        <v>53</v>
      </c>
      <c r="H81" s="8">
        <v>3.58</v>
      </c>
      <c r="I81" s="4">
        <v>0</v>
      </c>
    </row>
    <row r="82" spans="1:9" x14ac:dyDescent="0.2">
      <c r="A82" s="2">
        <v>13</v>
      </c>
      <c r="B82" s="1" t="s">
        <v>109</v>
      </c>
      <c r="C82" s="4">
        <v>57</v>
      </c>
      <c r="D82" s="8">
        <v>2.21</v>
      </c>
      <c r="E82" s="4">
        <v>7</v>
      </c>
      <c r="F82" s="8">
        <v>0.65</v>
      </c>
      <c r="G82" s="4">
        <v>50</v>
      </c>
      <c r="H82" s="8">
        <v>3.38</v>
      </c>
      <c r="I82" s="4">
        <v>0</v>
      </c>
    </row>
    <row r="83" spans="1:9" x14ac:dyDescent="0.2">
      <c r="A83" s="2">
        <v>14</v>
      </c>
      <c r="B83" s="1" t="s">
        <v>104</v>
      </c>
      <c r="C83" s="4">
        <v>54</v>
      </c>
      <c r="D83" s="8">
        <v>2.1</v>
      </c>
      <c r="E83" s="4">
        <v>12</v>
      </c>
      <c r="F83" s="8">
        <v>1.1100000000000001</v>
      </c>
      <c r="G83" s="4">
        <v>42</v>
      </c>
      <c r="H83" s="8">
        <v>2.84</v>
      </c>
      <c r="I83" s="4">
        <v>0</v>
      </c>
    </row>
    <row r="84" spans="1:9" x14ac:dyDescent="0.2">
      <c r="A84" s="2">
        <v>15</v>
      </c>
      <c r="B84" s="1" t="s">
        <v>112</v>
      </c>
      <c r="C84" s="4">
        <v>51</v>
      </c>
      <c r="D84" s="8">
        <v>1.98</v>
      </c>
      <c r="E84" s="4">
        <v>16</v>
      </c>
      <c r="F84" s="8">
        <v>1.48</v>
      </c>
      <c r="G84" s="4">
        <v>34</v>
      </c>
      <c r="H84" s="8">
        <v>2.2999999999999998</v>
      </c>
      <c r="I84" s="4">
        <v>0</v>
      </c>
    </row>
    <row r="85" spans="1:9" x14ac:dyDescent="0.2">
      <c r="A85" s="2">
        <v>16</v>
      </c>
      <c r="B85" s="1" t="s">
        <v>121</v>
      </c>
      <c r="C85" s="4">
        <v>47</v>
      </c>
      <c r="D85" s="8">
        <v>1.82</v>
      </c>
      <c r="E85" s="4">
        <v>8</v>
      </c>
      <c r="F85" s="8">
        <v>0.74</v>
      </c>
      <c r="G85" s="4">
        <v>39</v>
      </c>
      <c r="H85" s="8">
        <v>2.64</v>
      </c>
      <c r="I85" s="4">
        <v>0</v>
      </c>
    </row>
    <row r="86" spans="1:9" x14ac:dyDescent="0.2">
      <c r="A86" s="2">
        <v>17</v>
      </c>
      <c r="B86" s="1" t="s">
        <v>98</v>
      </c>
      <c r="C86" s="4">
        <v>45</v>
      </c>
      <c r="D86" s="8">
        <v>1.75</v>
      </c>
      <c r="E86" s="4">
        <v>1</v>
      </c>
      <c r="F86" s="8">
        <v>0.09</v>
      </c>
      <c r="G86" s="4">
        <v>44</v>
      </c>
      <c r="H86" s="8">
        <v>2.97</v>
      </c>
      <c r="I86" s="4">
        <v>0</v>
      </c>
    </row>
    <row r="87" spans="1:9" x14ac:dyDescent="0.2">
      <c r="A87" s="2">
        <v>17</v>
      </c>
      <c r="B87" s="1" t="s">
        <v>105</v>
      </c>
      <c r="C87" s="4">
        <v>45</v>
      </c>
      <c r="D87" s="8">
        <v>1.75</v>
      </c>
      <c r="E87" s="4">
        <v>25</v>
      </c>
      <c r="F87" s="8">
        <v>2.31</v>
      </c>
      <c r="G87" s="4">
        <v>20</v>
      </c>
      <c r="H87" s="8">
        <v>1.35</v>
      </c>
      <c r="I87" s="4">
        <v>0</v>
      </c>
    </row>
    <row r="88" spans="1:9" x14ac:dyDescent="0.2">
      <c r="A88" s="2">
        <v>19</v>
      </c>
      <c r="B88" s="1" t="s">
        <v>120</v>
      </c>
      <c r="C88" s="4">
        <v>42</v>
      </c>
      <c r="D88" s="8">
        <v>1.63</v>
      </c>
      <c r="E88" s="4">
        <v>21</v>
      </c>
      <c r="F88" s="8">
        <v>1.94</v>
      </c>
      <c r="G88" s="4">
        <v>21</v>
      </c>
      <c r="H88" s="8">
        <v>1.42</v>
      </c>
      <c r="I88" s="4">
        <v>0</v>
      </c>
    </row>
    <row r="89" spans="1:9" x14ac:dyDescent="0.2">
      <c r="A89" s="2">
        <v>20</v>
      </c>
      <c r="B89" s="1" t="s">
        <v>99</v>
      </c>
      <c r="C89" s="4">
        <v>40</v>
      </c>
      <c r="D89" s="8">
        <v>1.55</v>
      </c>
      <c r="E89" s="4">
        <v>5</v>
      </c>
      <c r="F89" s="8">
        <v>0.46</v>
      </c>
      <c r="G89" s="4">
        <v>35</v>
      </c>
      <c r="H89" s="8">
        <v>2.36</v>
      </c>
      <c r="I89" s="4">
        <v>0</v>
      </c>
    </row>
    <row r="90" spans="1:9" x14ac:dyDescent="0.2">
      <c r="A90" s="1"/>
      <c r="C90" s="4"/>
      <c r="D90" s="8"/>
      <c r="E90" s="4"/>
      <c r="F90" s="8"/>
      <c r="G90" s="4"/>
      <c r="H90" s="8"/>
      <c r="I90" s="4"/>
    </row>
    <row r="91" spans="1:9" x14ac:dyDescent="0.2">
      <c r="A91" s="1" t="s">
        <v>4</v>
      </c>
      <c r="C91" s="4"/>
      <c r="D91" s="8"/>
      <c r="E91" s="4"/>
      <c r="F91" s="8"/>
      <c r="G91" s="4"/>
      <c r="H91" s="8"/>
      <c r="I91" s="4"/>
    </row>
    <row r="92" spans="1:9" x14ac:dyDescent="0.2">
      <c r="A92" s="2">
        <v>1</v>
      </c>
      <c r="B92" s="1" t="s">
        <v>113</v>
      </c>
      <c r="C92" s="4">
        <v>212</v>
      </c>
      <c r="D92" s="8">
        <v>15.3</v>
      </c>
      <c r="E92" s="4">
        <v>189</v>
      </c>
      <c r="F92" s="8">
        <v>26.25</v>
      </c>
      <c r="G92" s="4">
        <v>23</v>
      </c>
      <c r="H92" s="8">
        <v>3.47</v>
      </c>
      <c r="I92" s="4">
        <v>0</v>
      </c>
    </row>
    <row r="93" spans="1:9" x14ac:dyDescent="0.2">
      <c r="A93" s="2">
        <v>2</v>
      </c>
      <c r="B93" s="1" t="s">
        <v>110</v>
      </c>
      <c r="C93" s="4">
        <v>123</v>
      </c>
      <c r="D93" s="8">
        <v>8.8699999999999992</v>
      </c>
      <c r="E93" s="4">
        <v>71</v>
      </c>
      <c r="F93" s="8">
        <v>9.86</v>
      </c>
      <c r="G93" s="4">
        <v>52</v>
      </c>
      <c r="H93" s="8">
        <v>7.84</v>
      </c>
      <c r="I93" s="4">
        <v>0</v>
      </c>
    </row>
    <row r="94" spans="1:9" x14ac:dyDescent="0.2">
      <c r="A94" s="2">
        <v>3</v>
      </c>
      <c r="B94" s="1" t="s">
        <v>114</v>
      </c>
      <c r="C94" s="4">
        <v>106</v>
      </c>
      <c r="D94" s="8">
        <v>7.65</v>
      </c>
      <c r="E94" s="4">
        <v>92</v>
      </c>
      <c r="F94" s="8">
        <v>12.78</v>
      </c>
      <c r="G94" s="4">
        <v>14</v>
      </c>
      <c r="H94" s="8">
        <v>2.11</v>
      </c>
      <c r="I94" s="4">
        <v>0</v>
      </c>
    </row>
    <row r="95" spans="1:9" x14ac:dyDescent="0.2">
      <c r="A95" s="2">
        <v>4</v>
      </c>
      <c r="B95" s="1" t="s">
        <v>106</v>
      </c>
      <c r="C95" s="4">
        <v>78</v>
      </c>
      <c r="D95" s="8">
        <v>5.63</v>
      </c>
      <c r="E95" s="4">
        <v>65</v>
      </c>
      <c r="F95" s="8">
        <v>9.0299999999999994</v>
      </c>
      <c r="G95" s="4">
        <v>13</v>
      </c>
      <c r="H95" s="8">
        <v>1.96</v>
      </c>
      <c r="I95" s="4">
        <v>0</v>
      </c>
    </row>
    <row r="96" spans="1:9" x14ac:dyDescent="0.2">
      <c r="A96" s="2">
        <v>5</v>
      </c>
      <c r="B96" s="1" t="s">
        <v>108</v>
      </c>
      <c r="C96" s="4">
        <v>75</v>
      </c>
      <c r="D96" s="8">
        <v>5.41</v>
      </c>
      <c r="E96" s="4">
        <v>50</v>
      </c>
      <c r="F96" s="8">
        <v>6.94</v>
      </c>
      <c r="G96" s="4">
        <v>25</v>
      </c>
      <c r="H96" s="8">
        <v>3.77</v>
      </c>
      <c r="I96" s="4">
        <v>0</v>
      </c>
    </row>
    <row r="97" spans="1:9" x14ac:dyDescent="0.2">
      <c r="A97" s="2">
        <v>6</v>
      </c>
      <c r="B97" s="1" t="s">
        <v>100</v>
      </c>
      <c r="C97" s="4">
        <v>66</v>
      </c>
      <c r="D97" s="8">
        <v>4.76</v>
      </c>
      <c r="E97" s="4">
        <v>10</v>
      </c>
      <c r="F97" s="8">
        <v>1.39</v>
      </c>
      <c r="G97" s="4">
        <v>56</v>
      </c>
      <c r="H97" s="8">
        <v>8.4499999999999993</v>
      </c>
      <c r="I97" s="4">
        <v>0</v>
      </c>
    </row>
    <row r="98" spans="1:9" x14ac:dyDescent="0.2">
      <c r="A98" s="2">
        <v>7</v>
      </c>
      <c r="B98" s="1" t="s">
        <v>99</v>
      </c>
      <c r="C98" s="4">
        <v>57</v>
      </c>
      <c r="D98" s="8">
        <v>4.1100000000000003</v>
      </c>
      <c r="E98" s="4">
        <v>13</v>
      </c>
      <c r="F98" s="8">
        <v>1.81</v>
      </c>
      <c r="G98" s="4">
        <v>44</v>
      </c>
      <c r="H98" s="8">
        <v>6.64</v>
      </c>
      <c r="I98" s="4">
        <v>0</v>
      </c>
    </row>
    <row r="99" spans="1:9" x14ac:dyDescent="0.2">
      <c r="A99" s="2">
        <v>8</v>
      </c>
      <c r="B99" s="1" t="s">
        <v>98</v>
      </c>
      <c r="C99" s="4">
        <v>55</v>
      </c>
      <c r="D99" s="8">
        <v>3.97</v>
      </c>
      <c r="E99" s="4">
        <v>14</v>
      </c>
      <c r="F99" s="8">
        <v>1.94</v>
      </c>
      <c r="G99" s="4">
        <v>41</v>
      </c>
      <c r="H99" s="8">
        <v>6.18</v>
      </c>
      <c r="I99" s="4">
        <v>0</v>
      </c>
    </row>
    <row r="100" spans="1:9" x14ac:dyDescent="0.2">
      <c r="A100" s="2">
        <v>9</v>
      </c>
      <c r="B100" s="1" t="s">
        <v>116</v>
      </c>
      <c r="C100" s="4">
        <v>46</v>
      </c>
      <c r="D100" s="8">
        <v>3.32</v>
      </c>
      <c r="E100" s="4">
        <v>37</v>
      </c>
      <c r="F100" s="8">
        <v>5.14</v>
      </c>
      <c r="G100" s="4">
        <v>9</v>
      </c>
      <c r="H100" s="8">
        <v>1.36</v>
      </c>
      <c r="I100" s="4">
        <v>0</v>
      </c>
    </row>
    <row r="101" spans="1:9" x14ac:dyDescent="0.2">
      <c r="A101" s="2">
        <v>10</v>
      </c>
      <c r="B101" s="1" t="s">
        <v>115</v>
      </c>
      <c r="C101" s="4">
        <v>41</v>
      </c>
      <c r="D101" s="8">
        <v>2.96</v>
      </c>
      <c r="E101" s="4">
        <v>32</v>
      </c>
      <c r="F101" s="8">
        <v>4.4400000000000004</v>
      </c>
      <c r="G101" s="4">
        <v>8</v>
      </c>
      <c r="H101" s="8">
        <v>1.21</v>
      </c>
      <c r="I101" s="4">
        <v>0</v>
      </c>
    </row>
    <row r="102" spans="1:9" x14ac:dyDescent="0.2">
      <c r="A102" s="2">
        <v>11</v>
      </c>
      <c r="B102" s="1" t="s">
        <v>101</v>
      </c>
      <c r="C102" s="4">
        <v>27</v>
      </c>
      <c r="D102" s="8">
        <v>1.95</v>
      </c>
      <c r="E102" s="4">
        <v>5</v>
      </c>
      <c r="F102" s="8">
        <v>0.69</v>
      </c>
      <c r="G102" s="4">
        <v>22</v>
      </c>
      <c r="H102" s="8">
        <v>3.32</v>
      </c>
      <c r="I102" s="4">
        <v>0</v>
      </c>
    </row>
    <row r="103" spans="1:9" x14ac:dyDescent="0.2">
      <c r="A103" s="2">
        <v>11</v>
      </c>
      <c r="B103" s="1" t="s">
        <v>105</v>
      </c>
      <c r="C103" s="4">
        <v>27</v>
      </c>
      <c r="D103" s="8">
        <v>1.95</v>
      </c>
      <c r="E103" s="4">
        <v>22</v>
      </c>
      <c r="F103" s="8">
        <v>3.06</v>
      </c>
      <c r="G103" s="4">
        <v>5</v>
      </c>
      <c r="H103" s="8">
        <v>0.75</v>
      </c>
      <c r="I103" s="4">
        <v>0</v>
      </c>
    </row>
    <row r="104" spans="1:9" x14ac:dyDescent="0.2">
      <c r="A104" s="2">
        <v>11</v>
      </c>
      <c r="B104" s="1" t="s">
        <v>107</v>
      </c>
      <c r="C104" s="4">
        <v>27</v>
      </c>
      <c r="D104" s="8">
        <v>1.95</v>
      </c>
      <c r="E104" s="4">
        <v>17</v>
      </c>
      <c r="F104" s="8">
        <v>2.36</v>
      </c>
      <c r="G104" s="4">
        <v>10</v>
      </c>
      <c r="H104" s="8">
        <v>1.51</v>
      </c>
      <c r="I104" s="4">
        <v>0</v>
      </c>
    </row>
    <row r="105" spans="1:9" x14ac:dyDescent="0.2">
      <c r="A105" s="2">
        <v>14</v>
      </c>
      <c r="B105" s="1" t="s">
        <v>102</v>
      </c>
      <c r="C105" s="4">
        <v>25</v>
      </c>
      <c r="D105" s="8">
        <v>1.8</v>
      </c>
      <c r="E105" s="4">
        <v>8</v>
      </c>
      <c r="F105" s="8">
        <v>1.1100000000000001</v>
      </c>
      <c r="G105" s="4">
        <v>17</v>
      </c>
      <c r="H105" s="8">
        <v>2.56</v>
      </c>
      <c r="I105" s="4">
        <v>0</v>
      </c>
    </row>
    <row r="106" spans="1:9" x14ac:dyDescent="0.2">
      <c r="A106" s="2">
        <v>15</v>
      </c>
      <c r="B106" s="1" t="s">
        <v>111</v>
      </c>
      <c r="C106" s="4">
        <v>24</v>
      </c>
      <c r="D106" s="8">
        <v>1.73</v>
      </c>
      <c r="E106" s="4">
        <v>17</v>
      </c>
      <c r="F106" s="8">
        <v>2.36</v>
      </c>
      <c r="G106" s="4">
        <v>7</v>
      </c>
      <c r="H106" s="8">
        <v>1.06</v>
      </c>
      <c r="I106" s="4">
        <v>0</v>
      </c>
    </row>
    <row r="107" spans="1:9" x14ac:dyDescent="0.2">
      <c r="A107" s="2">
        <v>16</v>
      </c>
      <c r="B107" s="1" t="s">
        <v>119</v>
      </c>
      <c r="C107" s="4">
        <v>23</v>
      </c>
      <c r="D107" s="8">
        <v>1.66</v>
      </c>
      <c r="E107" s="4">
        <v>2</v>
      </c>
      <c r="F107" s="8">
        <v>0.28000000000000003</v>
      </c>
      <c r="G107" s="4">
        <v>20</v>
      </c>
      <c r="H107" s="8">
        <v>3.02</v>
      </c>
      <c r="I107" s="4">
        <v>1</v>
      </c>
    </row>
    <row r="108" spans="1:9" x14ac:dyDescent="0.2">
      <c r="A108" s="2">
        <v>17</v>
      </c>
      <c r="B108" s="1" t="s">
        <v>122</v>
      </c>
      <c r="C108" s="4">
        <v>22</v>
      </c>
      <c r="D108" s="8">
        <v>1.59</v>
      </c>
      <c r="E108" s="4">
        <v>2</v>
      </c>
      <c r="F108" s="8">
        <v>0.28000000000000003</v>
      </c>
      <c r="G108" s="4">
        <v>20</v>
      </c>
      <c r="H108" s="8">
        <v>3.02</v>
      </c>
      <c r="I108" s="4">
        <v>0</v>
      </c>
    </row>
    <row r="109" spans="1:9" x14ac:dyDescent="0.2">
      <c r="A109" s="2">
        <v>17</v>
      </c>
      <c r="B109" s="1" t="s">
        <v>112</v>
      </c>
      <c r="C109" s="4">
        <v>22</v>
      </c>
      <c r="D109" s="8">
        <v>1.59</v>
      </c>
      <c r="E109" s="4">
        <v>6</v>
      </c>
      <c r="F109" s="8">
        <v>0.83</v>
      </c>
      <c r="G109" s="4">
        <v>16</v>
      </c>
      <c r="H109" s="8">
        <v>2.41</v>
      </c>
      <c r="I109" s="4">
        <v>0</v>
      </c>
    </row>
    <row r="110" spans="1:9" x14ac:dyDescent="0.2">
      <c r="A110" s="2">
        <v>19</v>
      </c>
      <c r="B110" s="1" t="s">
        <v>103</v>
      </c>
      <c r="C110" s="4">
        <v>21</v>
      </c>
      <c r="D110" s="8">
        <v>1.52</v>
      </c>
      <c r="E110" s="4">
        <v>1</v>
      </c>
      <c r="F110" s="8">
        <v>0.14000000000000001</v>
      </c>
      <c r="G110" s="4">
        <v>20</v>
      </c>
      <c r="H110" s="8">
        <v>3.02</v>
      </c>
      <c r="I110" s="4">
        <v>0</v>
      </c>
    </row>
    <row r="111" spans="1:9" x14ac:dyDescent="0.2">
      <c r="A111" s="2">
        <v>20</v>
      </c>
      <c r="B111" s="1" t="s">
        <v>123</v>
      </c>
      <c r="C111" s="4">
        <v>16</v>
      </c>
      <c r="D111" s="8">
        <v>1.1499999999999999</v>
      </c>
      <c r="E111" s="4">
        <v>0</v>
      </c>
      <c r="F111" s="8">
        <v>0</v>
      </c>
      <c r="G111" s="4">
        <v>16</v>
      </c>
      <c r="H111" s="8">
        <v>2.41</v>
      </c>
      <c r="I111" s="4">
        <v>0</v>
      </c>
    </row>
    <row r="112" spans="1:9" x14ac:dyDescent="0.2">
      <c r="A112" s="2">
        <v>20</v>
      </c>
      <c r="B112" s="1" t="s">
        <v>109</v>
      </c>
      <c r="C112" s="4">
        <v>16</v>
      </c>
      <c r="D112" s="8">
        <v>1.1499999999999999</v>
      </c>
      <c r="E112" s="4">
        <v>6</v>
      </c>
      <c r="F112" s="8">
        <v>0.83</v>
      </c>
      <c r="G112" s="4">
        <v>10</v>
      </c>
      <c r="H112" s="8">
        <v>1.51</v>
      </c>
      <c r="I112" s="4">
        <v>0</v>
      </c>
    </row>
    <row r="113" spans="1:9" x14ac:dyDescent="0.2">
      <c r="A113" s="2">
        <v>20</v>
      </c>
      <c r="B113" s="1" t="s">
        <v>124</v>
      </c>
      <c r="C113" s="4">
        <v>16</v>
      </c>
      <c r="D113" s="8">
        <v>1.1499999999999999</v>
      </c>
      <c r="E113" s="4">
        <v>4</v>
      </c>
      <c r="F113" s="8">
        <v>0.56000000000000005</v>
      </c>
      <c r="G113" s="4">
        <v>12</v>
      </c>
      <c r="H113" s="8">
        <v>1.81</v>
      </c>
      <c r="I113" s="4">
        <v>0</v>
      </c>
    </row>
    <row r="114" spans="1:9" x14ac:dyDescent="0.2">
      <c r="A114" s="1"/>
      <c r="C114" s="4"/>
      <c r="D114" s="8"/>
      <c r="E114" s="4"/>
      <c r="F114" s="8"/>
      <c r="G114" s="4"/>
      <c r="H114" s="8"/>
      <c r="I114" s="4"/>
    </row>
    <row r="115" spans="1:9" x14ac:dyDescent="0.2">
      <c r="A115" s="1" t="s">
        <v>5</v>
      </c>
      <c r="C115" s="4"/>
      <c r="D115" s="8"/>
      <c r="E115" s="4"/>
      <c r="F115" s="8"/>
      <c r="G115" s="4"/>
      <c r="H115" s="8"/>
      <c r="I115" s="4"/>
    </row>
    <row r="116" spans="1:9" x14ac:dyDescent="0.2">
      <c r="A116" s="2">
        <v>1</v>
      </c>
      <c r="B116" s="1" t="s">
        <v>113</v>
      </c>
      <c r="C116" s="4">
        <v>543</v>
      </c>
      <c r="D116" s="8">
        <v>9.43</v>
      </c>
      <c r="E116" s="4">
        <v>452</v>
      </c>
      <c r="F116" s="8">
        <v>26.07</v>
      </c>
      <c r="G116" s="4">
        <v>91</v>
      </c>
      <c r="H116" s="8">
        <v>2.2599999999999998</v>
      </c>
      <c r="I116" s="4">
        <v>0</v>
      </c>
    </row>
    <row r="117" spans="1:9" x14ac:dyDescent="0.2">
      <c r="A117" s="2">
        <v>2</v>
      </c>
      <c r="B117" s="1" t="s">
        <v>111</v>
      </c>
      <c r="C117" s="4">
        <v>530</v>
      </c>
      <c r="D117" s="8">
        <v>9.1999999999999993</v>
      </c>
      <c r="E117" s="4">
        <v>257</v>
      </c>
      <c r="F117" s="8">
        <v>14.82</v>
      </c>
      <c r="G117" s="4">
        <v>273</v>
      </c>
      <c r="H117" s="8">
        <v>6.79</v>
      </c>
      <c r="I117" s="4">
        <v>0</v>
      </c>
    </row>
    <row r="118" spans="1:9" x14ac:dyDescent="0.2">
      <c r="A118" s="2">
        <v>3</v>
      </c>
      <c r="B118" s="1" t="s">
        <v>110</v>
      </c>
      <c r="C118" s="4">
        <v>511</v>
      </c>
      <c r="D118" s="8">
        <v>8.8699999999999992</v>
      </c>
      <c r="E118" s="4">
        <v>55</v>
      </c>
      <c r="F118" s="8">
        <v>3.17</v>
      </c>
      <c r="G118" s="4">
        <v>456</v>
      </c>
      <c r="H118" s="8">
        <v>11.35</v>
      </c>
      <c r="I118" s="4">
        <v>0</v>
      </c>
    </row>
    <row r="119" spans="1:9" x14ac:dyDescent="0.2">
      <c r="A119" s="2">
        <v>4</v>
      </c>
      <c r="B119" s="1" t="s">
        <v>112</v>
      </c>
      <c r="C119" s="4">
        <v>272</v>
      </c>
      <c r="D119" s="8">
        <v>4.72</v>
      </c>
      <c r="E119" s="4">
        <v>120</v>
      </c>
      <c r="F119" s="8">
        <v>6.92</v>
      </c>
      <c r="G119" s="4">
        <v>152</v>
      </c>
      <c r="H119" s="8">
        <v>3.78</v>
      </c>
      <c r="I119" s="4">
        <v>0</v>
      </c>
    </row>
    <row r="120" spans="1:9" x14ac:dyDescent="0.2">
      <c r="A120" s="2">
        <v>5</v>
      </c>
      <c r="B120" s="1" t="s">
        <v>103</v>
      </c>
      <c r="C120" s="4">
        <v>253</v>
      </c>
      <c r="D120" s="8">
        <v>4.3899999999999997</v>
      </c>
      <c r="E120" s="4">
        <v>14</v>
      </c>
      <c r="F120" s="8">
        <v>0.81</v>
      </c>
      <c r="G120" s="4">
        <v>239</v>
      </c>
      <c r="H120" s="8">
        <v>5.95</v>
      </c>
      <c r="I120" s="4">
        <v>0</v>
      </c>
    </row>
    <row r="121" spans="1:9" x14ac:dyDescent="0.2">
      <c r="A121" s="2">
        <v>6</v>
      </c>
      <c r="B121" s="1" t="s">
        <v>102</v>
      </c>
      <c r="C121" s="4">
        <v>234</v>
      </c>
      <c r="D121" s="8">
        <v>4.0599999999999996</v>
      </c>
      <c r="E121" s="4">
        <v>13</v>
      </c>
      <c r="F121" s="8">
        <v>0.75</v>
      </c>
      <c r="G121" s="4">
        <v>221</v>
      </c>
      <c r="H121" s="8">
        <v>5.5</v>
      </c>
      <c r="I121" s="4">
        <v>0</v>
      </c>
    </row>
    <row r="122" spans="1:9" x14ac:dyDescent="0.2">
      <c r="A122" s="2">
        <v>7</v>
      </c>
      <c r="B122" s="1" t="s">
        <v>104</v>
      </c>
      <c r="C122" s="4">
        <v>227</v>
      </c>
      <c r="D122" s="8">
        <v>3.94</v>
      </c>
      <c r="E122" s="4">
        <v>20</v>
      </c>
      <c r="F122" s="8">
        <v>1.1499999999999999</v>
      </c>
      <c r="G122" s="4">
        <v>207</v>
      </c>
      <c r="H122" s="8">
        <v>5.15</v>
      </c>
      <c r="I122" s="4">
        <v>0</v>
      </c>
    </row>
    <row r="123" spans="1:9" x14ac:dyDescent="0.2">
      <c r="A123" s="2">
        <v>8</v>
      </c>
      <c r="B123" s="1" t="s">
        <v>114</v>
      </c>
      <c r="C123" s="4">
        <v>221</v>
      </c>
      <c r="D123" s="8">
        <v>3.84</v>
      </c>
      <c r="E123" s="4">
        <v>167</v>
      </c>
      <c r="F123" s="8">
        <v>9.6300000000000008</v>
      </c>
      <c r="G123" s="4">
        <v>54</v>
      </c>
      <c r="H123" s="8">
        <v>1.34</v>
      </c>
      <c r="I123" s="4">
        <v>0</v>
      </c>
    </row>
    <row r="124" spans="1:9" x14ac:dyDescent="0.2">
      <c r="A124" s="2">
        <v>9</v>
      </c>
      <c r="B124" s="1" t="s">
        <v>108</v>
      </c>
      <c r="C124" s="4">
        <v>215</v>
      </c>
      <c r="D124" s="8">
        <v>3.73</v>
      </c>
      <c r="E124" s="4">
        <v>80</v>
      </c>
      <c r="F124" s="8">
        <v>4.6100000000000003</v>
      </c>
      <c r="G124" s="4">
        <v>135</v>
      </c>
      <c r="H124" s="8">
        <v>3.36</v>
      </c>
      <c r="I124" s="4">
        <v>0</v>
      </c>
    </row>
    <row r="125" spans="1:9" x14ac:dyDescent="0.2">
      <c r="A125" s="2">
        <v>10</v>
      </c>
      <c r="B125" s="1" t="s">
        <v>101</v>
      </c>
      <c r="C125" s="4">
        <v>186</v>
      </c>
      <c r="D125" s="8">
        <v>3.23</v>
      </c>
      <c r="E125" s="4">
        <v>81</v>
      </c>
      <c r="F125" s="8">
        <v>4.67</v>
      </c>
      <c r="G125" s="4">
        <v>105</v>
      </c>
      <c r="H125" s="8">
        <v>2.61</v>
      </c>
      <c r="I125" s="4">
        <v>0</v>
      </c>
    </row>
    <row r="126" spans="1:9" x14ac:dyDescent="0.2">
      <c r="A126" s="2">
        <v>11</v>
      </c>
      <c r="B126" s="1" t="s">
        <v>119</v>
      </c>
      <c r="C126" s="4">
        <v>169</v>
      </c>
      <c r="D126" s="8">
        <v>2.93</v>
      </c>
      <c r="E126" s="4">
        <v>5</v>
      </c>
      <c r="F126" s="8">
        <v>0.28999999999999998</v>
      </c>
      <c r="G126" s="4">
        <v>163</v>
      </c>
      <c r="H126" s="8">
        <v>4.0599999999999996</v>
      </c>
      <c r="I126" s="4">
        <v>1</v>
      </c>
    </row>
    <row r="127" spans="1:9" x14ac:dyDescent="0.2">
      <c r="A127" s="2">
        <v>12</v>
      </c>
      <c r="B127" s="1" t="s">
        <v>109</v>
      </c>
      <c r="C127" s="4">
        <v>154</v>
      </c>
      <c r="D127" s="8">
        <v>2.67</v>
      </c>
      <c r="E127" s="4">
        <v>11</v>
      </c>
      <c r="F127" s="8">
        <v>0.63</v>
      </c>
      <c r="G127" s="4">
        <v>143</v>
      </c>
      <c r="H127" s="8">
        <v>3.56</v>
      </c>
      <c r="I127" s="4">
        <v>0</v>
      </c>
    </row>
    <row r="128" spans="1:9" x14ac:dyDescent="0.2">
      <c r="A128" s="2">
        <v>13</v>
      </c>
      <c r="B128" s="1" t="s">
        <v>118</v>
      </c>
      <c r="C128" s="4">
        <v>149</v>
      </c>
      <c r="D128" s="8">
        <v>2.59</v>
      </c>
      <c r="E128" s="4">
        <v>8</v>
      </c>
      <c r="F128" s="8">
        <v>0.46</v>
      </c>
      <c r="G128" s="4">
        <v>141</v>
      </c>
      <c r="H128" s="8">
        <v>3.51</v>
      </c>
      <c r="I128" s="4">
        <v>0</v>
      </c>
    </row>
    <row r="129" spans="1:9" x14ac:dyDescent="0.2">
      <c r="A129" s="2">
        <v>14</v>
      </c>
      <c r="B129" s="1" t="s">
        <v>105</v>
      </c>
      <c r="C129" s="4">
        <v>139</v>
      </c>
      <c r="D129" s="8">
        <v>2.41</v>
      </c>
      <c r="E129" s="4">
        <v>48</v>
      </c>
      <c r="F129" s="8">
        <v>2.77</v>
      </c>
      <c r="G129" s="4">
        <v>91</v>
      </c>
      <c r="H129" s="8">
        <v>2.2599999999999998</v>
      </c>
      <c r="I129" s="4">
        <v>0</v>
      </c>
    </row>
    <row r="130" spans="1:9" x14ac:dyDescent="0.2">
      <c r="A130" s="2">
        <v>15</v>
      </c>
      <c r="B130" s="1" t="s">
        <v>98</v>
      </c>
      <c r="C130" s="4">
        <v>132</v>
      </c>
      <c r="D130" s="8">
        <v>2.29</v>
      </c>
      <c r="E130" s="4">
        <v>2</v>
      </c>
      <c r="F130" s="8">
        <v>0.12</v>
      </c>
      <c r="G130" s="4">
        <v>130</v>
      </c>
      <c r="H130" s="8">
        <v>3.23</v>
      </c>
      <c r="I130" s="4">
        <v>0</v>
      </c>
    </row>
    <row r="131" spans="1:9" x14ac:dyDescent="0.2">
      <c r="A131" s="2">
        <v>16</v>
      </c>
      <c r="B131" s="1" t="s">
        <v>100</v>
      </c>
      <c r="C131" s="4">
        <v>115</v>
      </c>
      <c r="D131" s="8">
        <v>2</v>
      </c>
      <c r="E131" s="4">
        <v>7</v>
      </c>
      <c r="F131" s="8">
        <v>0.4</v>
      </c>
      <c r="G131" s="4">
        <v>108</v>
      </c>
      <c r="H131" s="8">
        <v>2.69</v>
      </c>
      <c r="I131" s="4">
        <v>0</v>
      </c>
    </row>
    <row r="132" spans="1:9" x14ac:dyDescent="0.2">
      <c r="A132" s="2">
        <v>17</v>
      </c>
      <c r="B132" s="1" t="s">
        <v>116</v>
      </c>
      <c r="C132" s="4">
        <v>112</v>
      </c>
      <c r="D132" s="8">
        <v>1.94</v>
      </c>
      <c r="E132" s="4">
        <v>90</v>
      </c>
      <c r="F132" s="8">
        <v>5.19</v>
      </c>
      <c r="G132" s="4">
        <v>22</v>
      </c>
      <c r="H132" s="8">
        <v>0.55000000000000004</v>
      </c>
      <c r="I132" s="4">
        <v>0</v>
      </c>
    </row>
    <row r="133" spans="1:9" x14ac:dyDescent="0.2">
      <c r="A133" s="2">
        <v>18</v>
      </c>
      <c r="B133" s="1" t="s">
        <v>125</v>
      </c>
      <c r="C133" s="4">
        <v>106</v>
      </c>
      <c r="D133" s="8">
        <v>1.84</v>
      </c>
      <c r="E133" s="4">
        <v>2</v>
      </c>
      <c r="F133" s="8">
        <v>0.12</v>
      </c>
      <c r="G133" s="4">
        <v>104</v>
      </c>
      <c r="H133" s="8">
        <v>2.59</v>
      </c>
      <c r="I133" s="4">
        <v>0</v>
      </c>
    </row>
    <row r="134" spans="1:9" x14ac:dyDescent="0.2">
      <c r="A134" s="2">
        <v>19</v>
      </c>
      <c r="B134" s="1" t="s">
        <v>106</v>
      </c>
      <c r="C134" s="4">
        <v>101</v>
      </c>
      <c r="D134" s="8">
        <v>1.75</v>
      </c>
      <c r="E134" s="4">
        <v>63</v>
      </c>
      <c r="F134" s="8">
        <v>3.63</v>
      </c>
      <c r="G134" s="4">
        <v>38</v>
      </c>
      <c r="H134" s="8">
        <v>0.95</v>
      </c>
      <c r="I134" s="4">
        <v>0</v>
      </c>
    </row>
    <row r="135" spans="1:9" x14ac:dyDescent="0.2">
      <c r="A135" s="2">
        <v>20</v>
      </c>
      <c r="B135" s="1" t="s">
        <v>99</v>
      </c>
      <c r="C135" s="4">
        <v>100</v>
      </c>
      <c r="D135" s="8">
        <v>1.74</v>
      </c>
      <c r="E135" s="4">
        <v>13</v>
      </c>
      <c r="F135" s="8">
        <v>0.75</v>
      </c>
      <c r="G135" s="4">
        <v>87</v>
      </c>
      <c r="H135" s="8">
        <v>2.16</v>
      </c>
      <c r="I135" s="4">
        <v>0</v>
      </c>
    </row>
    <row r="136" spans="1:9" x14ac:dyDescent="0.2">
      <c r="A136" s="1"/>
      <c r="C136" s="4"/>
      <c r="D136" s="8"/>
      <c r="E136" s="4"/>
      <c r="F136" s="8"/>
      <c r="G136" s="4"/>
      <c r="H136" s="8"/>
      <c r="I136" s="4"/>
    </row>
    <row r="137" spans="1:9" x14ac:dyDescent="0.2">
      <c r="A137" s="1" t="s">
        <v>6</v>
      </c>
      <c r="C137" s="4"/>
      <c r="D137" s="8"/>
      <c r="E137" s="4"/>
      <c r="F137" s="8"/>
      <c r="G137" s="4"/>
      <c r="H137" s="8"/>
      <c r="I137" s="4"/>
    </row>
    <row r="138" spans="1:9" x14ac:dyDescent="0.2">
      <c r="A138" s="2">
        <v>1</v>
      </c>
      <c r="B138" s="1" t="s">
        <v>113</v>
      </c>
      <c r="C138" s="4">
        <v>298</v>
      </c>
      <c r="D138" s="8">
        <v>13.46</v>
      </c>
      <c r="E138" s="4">
        <v>271</v>
      </c>
      <c r="F138" s="8">
        <v>23.32</v>
      </c>
      <c r="G138" s="4">
        <v>26</v>
      </c>
      <c r="H138" s="8">
        <v>2.4900000000000002</v>
      </c>
      <c r="I138" s="4">
        <v>1</v>
      </c>
    </row>
    <row r="139" spans="1:9" x14ac:dyDescent="0.2">
      <c r="A139" s="2">
        <v>2</v>
      </c>
      <c r="B139" s="1" t="s">
        <v>110</v>
      </c>
      <c r="C139" s="4">
        <v>169</v>
      </c>
      <c r="D139" s="8">
        <v>7.63</v>
      </c>
      <c r="E139" s="4">
        <v>74</v>
      </c>
      <c r="F139" s="8">
        <v>6.37</v>
      </c>
      <c r="G139" s="4">
        <v>95</v>
      </c>
      <c r="H139" s="8">
        <v>9.1</v>
      </c>
      <c r="I139" s="4">
        <v>0</v>
      </c>
    </row>
    <row r="140" spans="1:9" x14ac:dyDescent="0.2">
      <c r="A140" s="2">
        <v>3</v>
      </c>
      <c r="B140" s="1" t="s">
        <v>114</v>
      </c>
      <c r="C140" s="4">
        <v>160</v>
      </c>
      <c r="D140" s="8">
        <v>7.23</v>
      </c>
      <c r="E140" s="4">
        <v>142</v>
      </c>
      <c r="F140" s="8">
        <v>12.22</v>
      </c>
      <c r="G140" s="4">
        <v>18</v>
      </c>
      <c r="H140" s="8">
        <v>1.72</v>
      </c>
      <c r="I140" s="4">
        <v>0</v>
      </c>
    </row>
    <row r="141" spans="1:9" x14ac:dyDescent="0.2">
      <c r="A141" s="2">
        <v>4</v>
      </c>
      <c r="B141" s="1" t="s">
        <v>101</v>
      </c>
      <c r="C141" s="4">
        <v>155</v>
      </c>
      <c r="D141" s="8">
        <v>7</v>
      </c>
      <c r="E141" s="4">
        <v>88</v>
      </c>
      <c r="F141" s="8">
        <v>7.57</v>
      </c>
      <c r="G141" s="4">
        <v>67</v>
      </c>
      <c r="H141" s="8">
        <v>6.42</v>
      </c>
      <c r="I141" s="4">
        <v>0</v>
      </c>
    </row>
    <row r="142" spans="1:9" x14ac:dyDescent="0.2">
      <c r="A142" s="2">
        <v>5</v>
      </c>
      <c r="B142" s="1" t="s">
        <v>108</v>
      </c>
      <c r="C142" s="4">
        <v>123</v>
      </c>
      <c r="D142" s="8">
        <v>5.56</v>
      </c>
      <c r="E142" s="4">
        <v>78</v>
      </c>
      <c r="F142" s="8">
        <v>6.71</v>
      </c>
      <c r="G142" s="4">
        <v>44</v>
      </c>
      <c r="H142" s="8">
        <v>4.21</v>
      </c>
      <c r="I142" s="4">
        <v>1</v>
      </c>
    </row>
    <row r="143" spans="1:9" x14ac:dyDescent="0.2">
      <c r="A143" s="2">
        <v>6</v>
      </c>
      <c r="B143" s="1" t="s">
        <v>106</v>
      </c>
      <c r="C143" s="4">
        <v>109</v>
      </c>
      <c r="D143" s="8">
        <v>4.92</v>
      </c>
      <c r="E143" s="4">
        <v>89</v>
      </c>
      <c r="F143" s="8">
        <v>7.66</v>
      </c>
      <c r="G143" s="4">
        <v>20</v>
      </c>
      <c r="H143" s="8">
        <v>1.92</v>
      </c>
      <c r="I143" s="4">
        <v>0</v>
      </c>
    </row>
    <row r="144" spans="1:9" x14ac:dyDescent="0.2">
      <c r="A144" s="2">
        <v>7</v>
      </c>
      <c r="B144" s="1" t="s">
        <v>98</v>
      </c>
      <c r="C144" s="4">
        <v>96</v>
      </c>
      <c r="D144" s="8">
        <v>4.34</v>
      </c>
      <c r="E144" s="4">
        <v>21</v>
      </c>
      <c r="F144" s="8">
        <v>1.81</v>
      </c>
      <c r="G144" s="4">
        <v>75</v>
      </c>
      <c r="H144" s="8">
        <v>7.18</v>
      </c>
      <c r="I144" s="4">
        <v>0</v>
      </c>
    </row>
    <row r="145" spans="1:9" x14ac:dyDescent="0.2">
      <c r="A145" s="2">
        <v>8</v>
      </c>
      <c r="B145" s="1" t="s">
        <v>99</v>
      </c>
      <c r="C145" s="4">
        <v>92</v>
      </c>
      <c r="D145" s="8">
        <v>4.16</v>
      </c>
      <c r="E145" s="4">
        <v>24</v>
      </c>
      <c r="F145" s="8">
        <v>2.0699999999999998</v>
      </c>
      <c r="G145" s="4">
        <v>68</v>
      </c>
      <c r="H145" s="8">
        <v>6.51</v>
      </c>
      <c r="I145" s="4">
        <v>0</v>
      </c>
    </row>
    <row r="146" spans="1:9" x14ac:dyDescent="0.2">
      <c r="A146" s="2">
        <v>9</v>
      </c>
      <c r="B146" s="1" t="s">
        <v>116</v>
      </c>
      <c r="C146" s="4">
        <v>72</v>
      </c>
      <c r="D146" s="8">
        <v>3.25</v>
      </c>
      <c r="E146" s="4">
        <v>60</v>
      </c>
      <c r="F146" s="8">
        <v>5.16</v>
      </c>
      <c r="G146" s="4">
        <v>12</v>
      </c>
      <c r="H146" s="8">
        <v>1.1499999999999999</v>
      </c>
      <c r="I146" s="4">
        <v>0</v>
      </c>
    </row>
    <row r="147" spans="1:9" x14ac:dyDescent="0.2">
      <c r="A147" s="2">
        <v>10</v>
      </c>
      <c r="B147" s="1" t="s">
        <v>100</v>
      </c>
      <c r="C147" s="4">
        <v>57</v>
      </c>
      <c r="D147" s="8">
        <v>2.57</v>
      </c>
      <c r="E147" s="4">
        <v>16</v>
      </c>
      <c r="F147" s="8">
        <v>1.38</v>
      </c>
      <c r="G147" s="4">
        <v>41</v>
      </c>
      <c r="H147" s="8">
        <v>3.93</v>
      </c>
      <c r="I147" s="4">
        <v>0</v>
      </c>
    </row>
    <row r="148" spans="1:9" x14ac:dyDescent="0.2">
      <c r="A148" s="2">
        <v>10</v>
      </c>
      <c r="B148" s="1" t="s">
        <v>107</v>
      </c>
      <c r="C148" s="4">
        <v>57</v>
      </c>
      <c r="D148" s="8">
        <v>2.57</v>
      </c>
      <c r="E148" s="4">
        <v>41</v>
      </c>
      <c r="F148" s="8">
        <v>3.53</v>
      </c>
      <c r="G148" s="4">
        <v>16</v>
      </c>
      <c r="H148" s="8">
        <v>1.53</v>
      </c>
      <c r="I148" s="4">
        <v>0</v>
      </c>
    </row>
    <row r="149" spans="1:9" x14ac:dyDescent="0.2">
      <c r="A149" s="2">
        <v>12</v>
      </c>
      <c r="B149" s="1" t="s">
        <v>102</v>
      </c>
      <c r="C149" s="4">
        <v>53</v>
      </c>
      <c r="D149" s="8">
        <v>2.39</v>
      </c>
      <c r="E149" s="4">
        <v>11</v>
      </c>
      <c r="F149" s="8">
        <v>0.95</v>
      </c>
      <c r="G149" s="4">
        <v>42</v>
      </c>
      <c r="H149" s="8">
        <v>4.0199999999999996</v>
      </c>
      <c r="I149" s="4">
        <v>0</v>
      </c>
    </row>
    <row r="150" spans="1:9" x14ac:dyDescent="0.2">
      <c r="A150" s="2">
        <v>13</v>
      </c>
      <c r="B150" s="1" t="s">
        <v>126</v>
      </c>
      <c r="C150" s="4">
        <v>50</v>
      </c>
      <c r="D150" s="8">
        <v>2.2599999999999998</v>
      </c>
      <c r="E150" s="4">
        <v>32</v>
      </c>
      <c r="F150" s="8">
        <v>2.75</v>
      </c>
      <c r="G150" s="4">
        <v>18</v>
      </c>
      <c r="H150" s="8">
        <v>1.72</v>
      </c>
      <c r="I150" s="4">
        <v>0</v>
      </c>
    </row>
    <row r="151" spans="1:9" x14ac:dyDescent="0.2">
      <c r="A151" s="2">
        <v>14</v>
      </c>
      <c r="B151" s="1" t="s">
        <v>103</v>
      </c>
      <c r="C151" s="4">
        <v>49</v>
      </c>
      <c r="D151" s="8">
        <v>2.21</v>
      </c>
      <c r="E151" s="4">
        <v>7</v>
      </c>
      <c r="F151" s="8">
        <v>0.6</v>
      </c>
      <c r="G151" s="4">
        <v>42</v>
      </c>
      <c r="H151" s="8">
        <v>4.0199999999999996</v>
      </c>
      <c r="I151" s="4">
        <v>0</v>
      </c>
    </row>
    <row r="152" spans="1:9" x14ac:dyDescent="0.2">
      <c r="A152" s="2">
        <v>15</v>
      </c>
      <c r="B152" s="1" t="s">
        <v>105</v>
      </c>
      <c r="C152" s="4">
        <v>47</v>
      </c>
      <c r="D152" s="8">
        <v>2.12</v>
      </c>
      <c r="E152" s="4">
        <v>34</v>
      </c>
      <c r="F152" s="8">
        <v>2.93</v>
      </c>
      <c r="G152" s="4">
        <v>13</v>
      </c>
      <c r="H152" s="8">
        <v>1.25</v>
      </c>
      <c r="I152" s="4">
        <v>0</v>
      </c>
    </row>
    <row r="153" spans="1:9" x14ac:dyDescent="0.2">
      <c r="A153" s="2">
        <v>16</v>
      </c>
      <c r="B153" s="1" t="s">
        <v>127</v>
      </c>
      <c r="C153" s="4">
        <v>42</v>
      </c>
      <c r="D153" s="8">
        <v>1.9</v>
      </c>
      <c r="E153" s="4">
        <v>15</v>
      </c>
      <c r="F153" s="8">
        <v>1.29</v>
      </c>
      <c r="G153" s="4">
        <v>27</v>
      </c>
      <c r="H153" s="8">
        <v>2.59</v>
      </c>
      <c r="I153" s="4">
        <v>0</v>
      </c>
    </row>
    <row r="154" spans="1:9" x14ac:dyDescent="0.2">
      <c r="A154" s="2">
        <v>17</v>
      </c>
      <c r="B154" s="1" t="s">
        <v>115</v>
      </c>
      <c r="C154" s="4">
        <v>41</v>
      </c>
      <c r="D154" s="8">
        <v>1.85</v>
      </c>
      <c r="E154" s="4">
        <v>30</v>
      </c>
      <c r="F154" s="8">
        <v>2.58</v>
      </c>
      <c r="G154" s="4">
        <v>9</v>
      </c>
      <c r="H154" s="8">
        <v>0.86</v>
      </c>
      <c r="I154" s="4">
        <v>0</v>
      </c>
    </row>
    <row r="155" spans="1:9" x14ac:dyDescent="0.2">
      <c r="A155" s="2">
        <v>18</v>
      </c>
      <c r="B155" s="1" t="s">
        <v>111</v>
      </c>
      <c r="C155" s="4">
        <v>38</v>
      </c>
      <c r="D155" s="8">
        <v>1.72</v>
      </c>
      <c r="E155" s="4">
        <v>19</v>
      </c>
      <c r="F155" s="8">
        <v>1.64</v>
      </c>
      <c r="G155" s="4">
        <v>19</v>
      </c>
      <c r="H155" s="8">
        <v>1.82</v>
      </c>
      <c r="I155" s="4">
        <v>0</v>
      </c>
    </row>
    <row r="156" spans="1:9" x14ac:dyDescent="0.2">
      <c r="A156" s="2">
        <v>19</v>
      </c>
      <c r="B156" s="1" t="s">
        <v>109</v>
      </c>
      <c r="C156" s="4">
        <v>36</v>
      </c>
      <c r="D156" s="8">
        <v>1.63</v>
      </c>
      <c r="E156" s="4">
        <v>3</v>
      </c>
      <c r="F156" s="8">
        <v>0.26</v>
      </c>
      <c r="G156" s="4">
        <v>33</v>
      </c>
      <c r="H156" s="8">
        <v>3.16</v>
      </c>
      <c r="I156" s="4">
        <v>0</v>
      </c>
    </row>
    <row r="157" spans="1:9" x14ac:dyDescent="0.2">
      <c r="A157" s="2">
        <v>20</v>
      </c>
      <c r="B157" s="1" t="s">
        <v>112</v>
      </c>
      <c r="C157" s="4">
        <v>35</v>
      </c>
      <c r="D157" s="8">
        <v>1.58</v>
      </c>
      <c r="E157" s="4">
        <v>12</v>
      </c>
      <c r="F157" s="8">
        <v>1.03</v>
      </c>
      <c r="G157" s="4">
        <v>23</v>
      </c>
      <c r="H157" s="8">
        <v>2.2000000000000002</v>
      </c>
      <c r="I157" s="4">
        <v>0</v>
      </c>
    </row>
    <row r="158" spans="1:9" x14ac:dyDescent="0.2">
      <c r="A158" s="1"/>
      <c r="C158" s="4"/>
      <c r="D158" s="8"/>
      <c r="E158" s="4"/>
      <c r="F158" s="8"/>
      <c r="G158" s="4"/>
      <c r="H158" s="8"/>
      <c r="I158" s="4"/>
    </row>
    <row r="159" spans="1:9" x14ac:dyDescent="0.2">
      <c r="A159" s="1" t="s">
        <v>7</v>
      </c>
      <c r="C159" s="4"/>
      <c r="D159" s="8"/>
      <c r="E159" s="4"/>
      <c r="F159" s="8"/>
      <c r="G159" s="4"/>
      <c r="H159" s="8"/>
      <c r="I159" s="4"/>
    </row>
    <row r="160" spans="1:9" x14ac:dyDescent="0.2">
      <c r="A160" s="2">
        <v>1</v>
      </c>
      <c r="B160" s="1" t="s">
        <v>113</v>
      </c>
      <c r="C160" s="4">
        <v>255</v>
      </c>
      <c r="D160" s="8">
        <v>13.61</v>
      </c>
      <c r="E160" s="4">
        <v>236</v>
      </c>
      <c r="F160" s="8">
        <v>24.76</v>
      </c>
      <c r="G160" s="4">
        <v>19</v>
      </c>
      <c r="H160" s="8">
        <v>2.0699999999999998</v>
      </c>
      <c r="I160" s="4">
        <v>0</v>
      </c>
    </row>
    <row r="161" spans="1:9" x14ac:dyDescent="0.2">
      <c r="A161" s="2">
        <v>2</v>
      </c>
      <c r="B161" s="1" t="s">
        <v>110</v>
      </c>
      <c r="C161" s="4">
        <v>144</v>
      </c>
      <c r="D161" s="8">
        <v>7.68</v>
      </c>
      <c r="E161" s="4">
        <v>61</v>
      </c>
      <c r="F161" s="8">
        <v>6.4</v>
      </c>
      <c r="G161" s="4">
        <v>83</v>
      </c>
      <c r="H161" s="8">
        <v>9.0500000000000007</v>
      </c>
      <c r="I161" s="4">
        <v>0</v>
      </c>
    </row>
    <row r="162" spans="1:9" x14ac:dyDescent="0.2">
      <c r="A162" s="2">
        <v>3</v>
      </c>
      <c r="B162" s="1" t="s">
        <v>114</v>
      </c>
      <c r="C162" s="4">
        <v>137</v>
      </c>
      <c r="D162" s="8">
        <v>7.31</v>
      </c>
      <c r="E162" s="4">
        <v>120</v>
      </c>
      <c r="F162" s="8">
        <v>12.59</v>
      </c>
      <c r="G162" s="4">
        <v>17</v>
      </c>
      <c r="H162" s="8">
        <v>1.85</v>
      </c>
      <c r="I162" s="4">
        <v>0</v>
      </c>
    </row>
    <row r="163" spans="1:9" x14ac:dyDescent="0.2">
      <c r="A163" s="2">
        <v>4</v>
      </c>
      <c r="B163" s="1" t="s">
        <v>108</v>
      </c>
      <c r="C163" s="4">
        <v>103</v>
      </c>
      <c r="D163" s="8">
        <v>5.5</v>
      </c>
      <c r="E163" s="4">
        <v>70</v>
      </c>
      <c r="F163" s="8">
        <v>7.35</v>
      </c>
      <c r="G163" s="4">
        <v>33</v>
      </c>
      <c r="H163" s="8">
        <v>3.6</v>
      </c>
      <c r="I163" s="4">
        <v>0</v>
      </c>
    </row>
    <row r="164" spans="1:9" x14ac:dyDescent="0.2">
      <c r="A164" s="2">
        <v>5</v>
      </c>
      <c r="B164" s="1" t="s">
        <v>106</v>
      </c>
      <c r="C164" s="4">
        <v>92</v>
      </c>
      <c r="D164" s="8">
        <v>4.91</v>
      </c>
      <c r="E164" s="4">
        <v>75</v>
      </c>
      <c r="F164" s="8">
        <v>7.87</v>
      </c>
      <c r="G164" s="4">
        <v>17</v>
      </c>
      <c r="H164" s="8">
        <v>1.85</v>
      </c>
      <c r="I164" s="4">
        <v>0</v>
      </c>
    </row>
    <row r="165" spans="1:9" x14ac:dyDescent="0.2">
      <c r="A165" s="2">
        <v>6</v>
      </c>
      <c r="B165" s="1" t="s">
        <v>101</v>
      </c>
      <c r="C165" s="4">
        <v>87</v>
      </c>
      <c r="D165" s="8">
        <v>4.6399999999999997</v>
      </c>
      <c r="E165" s="4">
        <v>32</v>
      </c>
      <c r="F165" s="8">
        <v>3.36</v>
      </c>
      <c r="G165" s="4">
        <v>55</v>
      </c>
      <c r="H165" s="8">
        <v>6</v>
      </c>
      <c r="I165" s="4">
        <v>0</v>
      </c>
    </row>
    <row r="166" spans="1:9" x14ac:dyDescent="0.2">
      <c r="A166" s="2">
        <v>7</v>
      </c>
      <c r="B166" s="1" t="s">
        <v>100</v>
      </c>
      <c r="C166" s="4">
        <v>85</v>
      </c>
      <c r="D166" s="8">
        <v>4.54</v>
      </c>
      <c r="E166" s="4">
        <v>22</v>
      </c>
      <c r="F166" s="8">
        <v>2.31</v>
      </c>
      <c r="G166" s="4">
        <v>63</v>
      </c>
      <c r="H166" s="8">
        <v>6.87</v>
      </c>
      <c r="I166" s="4">
        <v>0</v>
      </c>
    </row>
    <row r="167" spans="1:9" x14ac:dyDescent="0.2">
      <c r="A167" s="2">
        <v>8</v>
      </c>
      <c r="B167" s="1" t="s">
        <v>98</v>
      </c>
      <c r="C167" s="4">
        <v>72</v>
      </c>
      <c r="D167" s="8">
        <v>3.84</v>
      </c>
      <c r="E167" s="4">
        <v>10</v>
      </c>
      <c r="F167" s="8">
        <v>1.05</v>
      </c>
      <c r="G167" s="4">
        <v>62</v>
      </c>
      <c r="H167" s="8">
        <v>6.76</v>
      </c>
      <c r="I167" s="4">
        <v>0</v>
      </c>
    </row>
    <row r="168" spans="1:9" x14ac:dyDescent="0.2">
      <c r="A168" s="2">
        <v>9</v>
      </c>
      <c r="B168" s="1" t="s">
        <v>99</v>
      </c>
      <c r="C168" s="4">
        <v>61</v>
      </c>
      <c r="D168" s="8">
        <v>3.26</v>
      </c>
      <c r="E168" s="4">
        <v>12</v>
      </c>
      <c r="F168" s="8">
        <v>1.26</v>
      </c>
      <c r="G168" s="4">
        <v>49</v>
      </c>
      <c r="H168" s="8">
        <v>5.34</v>
      </c>
      <c r="I168" s="4">
        <v>0</v>
      </c>
    </row>
    <row r="169" spans="1:9" x14ac:dyDescent="0.2">
      <c r="A169" s="2">
        <v>10</v>
      </c>
      <c r="B169" s="1" t="s">
        <v>102</v>
      </c>
      <c r="C169" s="4">
        <v>56</v>
      </c>
      <c r="D169" s="8">
        <v>2.99</v>
      </c>
      <c r="E169" s="4">
        <v>13</v>
      </c>
      <c r="F169" s="8">
        <v>1.36</v>
      </c>
      <c r="G169" s="4">
        <v>43</v>
      </c>
      <c r="H169" s="8">
        <v>4.6900000000000004</v>
      </c>
      <c r="I169" s="4">
        <v>0</v>
      </c>
    </row>
    <row r="170" spans="1:9" x14ac:dyDescent="0.2">
      <c r="A170" s="2">
        <v>11</v>
      </c>
      <c r="B170" s="1" t="s">
        <v>116</v>
      </c>
      <c r="C170" s="4">
        <v>52</v>
      </c>
      <c r="D170" s="8">
        <v>2.77</v>
      </c>
      <c r="E170" s="4">
        <v>46</v>
      </c>
      <c r="F170" s="8">
        <v>4.83</v>
      </c>
      <c r="G170" s="4">
        <v>6</v>
      </c>
      <c r="H170" s="8">
        <v>0.65</v>
      </c>
      <c r="I170" s="4">
        <v>0</v>
      </c>
    </row>
    <row r="171" spans="1:9" x14ac:dyDescent="0.2">
      <c r="A171" s="2">
        <v>12</v>
      </c>
      <c r="B171" s="1" t="s">
        <v>105</v>
      </c>
      <c r="C171" s="4">
        <v>43</v>
      </c>
      <c r="D171" s="8">
        <v>2.29</v>
      </c>
      <c r="E171" s="4">
        <v>37</v>
      </c>
      <c r="F171" s="8">
        <v>3.88</v>
      </c>
      <c r="G171" s="4">
        <v>6</v>
      </c>
      <c r="H171" s="8">
        <v>0.65</v>
      </c>
      <c r="I171" s="4">
        <v>0</v>
      </c>
    </row>
    <row r="172" spans="1:9" x14ac:dyDescent="0.2">
      <c r="A172" s="2">
        <v>12</v>
      </c>
      <c r="B172" s="1" t="s">
        <v>107</v>
      </c>
      <c r="C172" s="4">
        <v>43</v>
      </c>
      <c r="D172" s="8">
        <v>2.29</v>
      </c>
      <c r="E172" s="4">
        <v>24</v>
      </c>
      <c r="F172" s="8">
        <v>2.52</v>
      </c>
      <c r="G172" s="4">
        <v>19</v>
      </c>
      <c r="H172" s="8">
        <v>2.0699999999999998</v>
      </c>
      <c r="I172" s="4">
        <v>0</v>
      </c>
    </row>
    <row r="173" spans="1:9" x14ac:dyDescent="0.2">
      <c r="A173" s="2">
        <v>14</v>
      </c>
      <c r="B173" s="1" t="s">
        <v>127</v>
      </c>
      <c r="C173" s="4">
        <v>39</v>
      </c>
      <c r="D173" s="8">
        <v>2.08</v>
      </c>
      <c r="E173" s="4">
        <v>12</v>
      </c>
      <c r="F173" s="8">
        <v>1.26</v>
      </c>
      <c r="G173" s="4">
        <v>27</v>
      </c>
      <c r="H173" s="8">
        <v>2.94</v>
      </c>
      <c r="I173" s="4">
        <v>0</v>
      </c>
    </row>
    <row r="174" spans="1:9" x14ac:dyDescent="0.2">
      <c r="A174" s="2">
        <v>15</v>
      </c>
      <c r="B174" s="1" t="s">
        <v>126</v>
      </c>
      <c r="C174" s="4">
        <v>37</v>
      </c>
      <c r="D174" s="8">
        <v>1.97</v>
      </c>
      <c r="E174" s="4">
        <v>13</v>
      </c>
      <c r="F174" s="8">
        <v>1.36</v>
      </c>
      <c r="G174" s="4">
        <v>24</v>
      </c>
      <c r="H174" s="8">
        <v>2.62</v>
      </c>
      <c r="I174" s="4">
        <v>0</v>
      </c>
    </row>
    <row r="175" spans="1:9" x14ac:dyDescent="0.2">
      <c r="A175" s="2">
        <v>15</v>
      </c>
      <c r="B175" s="1" t="s">
        <v>103</v>
      </c>
      <c r="C175" s="4">
        <v>37</v>
      </c>
      <c r="D175" s="8">
        <v>1.97</v>
      </c>
      <c r="E175" s="4">
        <v>9</v>
      </c>
      <c r="F175" s="8">
        <v>0.94</v>
      </c>
      <c r="G175" s="4">
        <v>28</v>
      </c>
      <c r="H175" s="8">
        <v>3.05</v>
      </c>
      <c r="I175" s="4">
        <v>0</v>
      </c>
    </row>
    <row r="176" spans="1:9" x14ac:dyDescent="0.2">
      <c r="A176" s="2">
        <v>17</v>
      </c>
      <c r="B176" s="1" t="s">
        <v>104</v>
      </c>
      <c r="C176" s="4">
        <v>34</v>
      </c>
      <c r="D176" s="8">
        <v>1.81</v>
      </c>
      <c r="E176" s="4">
        <v>10</v>
      </c>
      <c r="F176" s="8">
        <v>1.05</v>
      </c>
      <c r="G176" s="4">
        <v>24</v>
      </c>
      <c r="H176" s="8">
        <v>2.62</v>
      </c>
      <c r="I176" s="4">
        <v>0</v>
      </c>
    </row>
    <row r="177" spans="1:9" x14ac:dyDescent="0.2">
      <c r="A177" s="2">
        <v>18</v>
      </c>
      <c r="B177" s="1" t="s">
        <v>128</v>
      </c>
      <c r="C177" s="4">
        <v>31</v>
      </c>
      <c r="D177" s="8">
        <v>1.65</v>
      </c>
      <c r="E177" s="4">
        <v>4</v>
      </c>
      <c r="F177" s="8">
        <v>0.42</v>
      </c>
      <c r="G177" s="4">
        <v>27</v>
      </c>
      <c r="H177" s="8">
        <v>2.94</v>
      </c>
      <c r="I177" s="4">
        <v>0</v>
      </c>
    </row>
    <row r="178" spans="1:9" x14ac:dyDescent="0.2">
      <c r="A178" s="2">
        <v>19</v>
      </c>
      <c r="B178" s="1" t="s">
        <v>129</v>
      </c>
      <c r="C178" s="4">
        <v>27</v>
      </c>
      <c r="D178" s="8">
        <v>1.44</v>
      </c>
      <c r="E178" s="4">
        <v>18</v>
      </c>
      <c r="F178" s="8">
        <v>1.89</v>
      </c>
      <c r="G178" s="4">
        <v>9</v>
      </c>
      <c r="H178" s="8">
        <v>0.98</v>
      </c>
      <c r="I178" s="4">
        <v>0</v>
      </c>
    </row>
    <row r="179" spans="1:9" x14ac:dyDescent="0.2">
      <c r="A179" s="2">
        <v>20</v>
      </c>
      <c r="B179" s="1" t="s">
        <v>109</v>
      </c>
      <c r="C179" s="4">
        <v>25</v>
      </c>
      <c r="D179" s="8">
        <v>1.33</v>
      </c>
      <c r="E179" s="4">
        <v>6</v>
      </c>
      <c r="F179" s="8">
        <v>0.63</v>
      </c>
      <c r="G179" s="4">
        <v>19</v>
      </c>
      <c r="H179" s="8">
        <v>2.0699999999999998</v>
      </c>
      <c r="I179" s="4">
        <v>0</v>
      </c>
    </row>
    <row r="180" spans="1:9" x14ac:dyDescent="0.2">
      <c r="A180" s="1"/>
      <c r="C180" s="4"/>
      <c r="D180" s="8"/>
      <c r="E180" s="4"/>
      <c r="F180" s="8"/>
      <c r="G180" s="4"/>
      <c r="H180" s="8"/>
      <c r="I180" s="4"/>
    </row>
    <row r="181" spans="1:9" x14ac:dyDescent="0.2">
      <c r="A181" s="1" t="s">
        <v>8</v>
      </c>
      <c r="C181" s="4"/>
      <c r="D181" s="8"/>
      <c r="E181" s="4"/>
      <c r="F181" s="8"/>
      <c r="G181" s="4"/>
      <c r="H181" s="8"/>
      <c r="I181" s="4"/>
    </row>
    <row r="182" spans="1:9" x14ac:dyDescent="0.2">
      <c r="A182" s="2">
        <v>1</v>
      </c>
      <c r="B182" s="1" t="s">
        <v>110</v>
      </c>
      <c r="C182" s="4">
        <v>392</v>
      </c>
      <c r="D182" s="8">
        <v>12.63</v>
      </c>
      <c r="E182" s="4">
        <v>108</v>
      </c>
      <c r="F182" s="8">
        <v>8.35</v>
      </c>
      <c r="G182" s="4">
        <v>282</v>
      </c>
      <c r="H182" s="8">
        <v>15.65</v>
      </c>
      <c r="I182" s="4">
        <v>1</v>
      </c>
    </row>
    <row r="183" spans="1:9" x14ac:dyDescent="0.2">
      <c r="A183" s="2">
        <v>2</v>
      </c>
      <c r="B183" s="1" t="s">
        <v>113</v>
      </c>
      <c r="C183" s="4">
        <v>326</v>
      </c>
      <c r="D183" s="8">
        <v>10.51</v>
      </c>
      <c r="E183" s="4">
        <v>277</v>
      </c>
      <c r="F183" s="8">
        <v>21.42</v>
      </c>
      <c r="G183" s="4">
        <v>49</v>
      </c>
      <c r="H183" s="8">
        <v>2.72</v>
      </c>
      <c r="I183" s="4">
        <v>0</v>
      </c>
    </row>
    <row r="184" spans="1:9" x14ac:dyDescent="0.2">
      <c r="A184" s="2">
        <v>3</v>
      </c>
      <c r="B184" s="1" t="s">
        <v>111</v>
      </c>
      <c r="C184" s="4">
        <v>302</v>
      </c>
      <c r="D184" s="8">
        <v>9.73</v>
      </c>
      <c r="E184" s="4">
        <v>208</v>
      </c>
      <c r="F184" s="8">
        <v>16.09</v>
      </c>
      <c r="G184" s="4">
        <v>94</v>
      </c>
      <c r="H184" s="8">
        <v>5.22</v>
      </c>
      <c r="I184" s="4">
        <v>0</v>
      </c>
    </row>
    <row r="185" spans="1:9" x14ac:dyDescent="0.2">
      <c r="A185" s="2">
        <v>4</v>
      </c>
      <c r="B185" s="1" t="s">
        <v>108</v>
      </c>
      <c r="C185" s="4">
        <v>183</v>
      </c>
      <c r="D185" s="8">
        <v>5.9</v>
      </c>
      <c r="E185" s="4">
        <v>98</v>
      </c>
      <c r="F185" s="8">
        <v>7.58</v>
      </c>
      <c r="G185" s="4">
        <v>85</v>
      </c>
      <c r="H185" s="8">
        <v>4.72</v>
      </c>
      <c r="I185" s="4">
        <v>0</v>
      </c>
    </row>
    <row r="186" spans="1:9" x14ac:dyDescent="0.2">
      <c r="A186" s="2">
        <v>5</v>
      </c>
      <c r="B186" s="1" t="s">
        <v>114</v>
      </c>
      <c r="C186" s="4">
        <v>158</v>
      </c>
      <c r="D186" s="8">
        <v>5.09</v>
      </c>
      <c r="E186" s="4">
        <v>102</v>
      </c>
      <c r="F186" s="8">
        <v>7.89</v>
      </c>
      <c r="G186" s="4">
        <v>56</v>
      </c>
      <c r="H186" s="8">
        <v>3.11</v>
      </c>
      <c r="I186" s="4">
        <v>0</v>
      </c>
    </row>
    <row r="187" spans="1:9" x14ac:dyDescent="0.2">
      <c r="A187" s="2">
        <v>6</v>
      </c>
      <c r="B187" s="1" t="s">
        <v>104</v>
      </c>
      <c r="C187" s="4">
        <v>123</v>
      </c>
      <c r="D187" s="8">
        <v>3.96</v>
      </c>
      <c r="E187" s="4">
        <v>16</v>
      </c>
      <c r="F187" s="8">
        <v>1.24</v>
      </c>
      <c r="G187" s="4">
        <v>107</v>
      </c>
      <c r="H187" s="8">
        <v>5.94</v>
      </c>
      <c r="I187" s="4">
        <v>0</v>
      </c>
    </row>
    <row r="188" spans="1:9" x14ac:dyDescent="0.2">
      <c r="A188" s="2">
        <v>7</v>
      </c>
      <c r="B188" s="1" t="s">
        <v>115</v>
      </c>
      <c r="C188" s="4">
        <v>122</v>
      </c>
      <c r="D188" s="8">
        <v>3.93</v>
      </c>
      <c r="E188" s="4">
        <v>63</v>
      </c>
      <c r="F188" s="8">
        <v>4.87</v>
      </c>
      <c r="G188" s="4">
        <v>57</v>
      </c>
      <c r="H188" s="8">
        <v>3.16</v>
      </c>
      <c r="I188" s="4">
        <v>1</v>
      </c>
    </row>
    <row r="189" spans="1:9" x14ac:dyDescent="0.2">
      <c r="A189" s="2">
        <v>8</v>
      </c>
      <c r="B189" s="1" t="s">
        <v>116</v>
      </c>
      <c r="C189" s="4">
        <v>121</v>
      </c>
      <c r="D189" s="8">
        <v>3.9</v>
      </c>
      <c r="E189" s="4">
        <v>98</v>
      </c>
      <c r="F189" s="8">
        <v>7.58</v>
      </c>
      <c r="G189" s="4">
        <v>23</v>
      </c>
      <c r="H189" s="8">
        <v>1.28</v>
      </c>
      <c r="I189" s="4">
        <v>0</v>
      </c>
    </row>
    <row r="190" spans="1:9" x14ac:dyDescent="0.2">
      <c r="A190" s="2">
        <v>9</v>
      </c>
      <c r="B190" s="1" t="s">
        <v>105</v>
      </c>
      <c r="C190" s="4">
        <v>115</v>
      </c>
      <c r="D190" s="8">
        <v>3.71</v>
      </c>
      <c r="E190" s="4">
        <v>27</v>
      </c>
      <c r="F190" s="8">
        <v>2.09</v>
      </c>
      <c r="G190" s="4">
        <v>88</v>
      </c>
      <c r="H190" s="8">
        <v>4.88</v>
      </c>
      <c r="I190" s="4">
        <v>0</v>
      </c>
    </row>
    <row r="191" spans="1:9" x14ac:dyDescent="0.2">
      <c r="A191" s="2">
        <v>10</v>
      </c>
      <c r="B191" s="1" t="s">
        <v>109</v>
      </c>
      <c r="C191" s="4">
        <v>98</v>
      </c>
      <c r="D191" s="8">
        <v>3.16</v>
      </c>
      <c r="E191" s="4">
        <v>9</v>
      </c>
      <c r="F191" s="8">
        <v>0.7</v>
      </c>
      <c r="G191" s="4">
        <v>89</v>
      </c>
      <c r="H191" s="8">
        <v>4.9400000000000004</v>
      </c>
      <c r="I191" s="4">
        <v>0</v>
      </c>
    </row>
    <row r="192" spans="1:9" x14ac:dyDescent="0.2">
      <c r="A192" s="2">
        <v>11</v>
      </c>
      <c r="B192" s="1" t="s">
        <v>112</v>
      </c>
      <c r="C192" s="4">
        <v>93</v>
      </c>
      <c r="D192" s="8">
        <v>3</v>
      </c>
      <c r="E192" s="4">
        <v>37</v>
      </c>
      <c r="F192" s="8">
        <v>2.86</v>
      </c>
      <c r="G192" s="4">
        <v>56</v>
      </c>
      <c r="H192" s="8">
        <v>3.11</v>
      </c>
      <c r="I192" s="4">
        <v>0</v>
      </c>
    </row>
    <row r="193" spans="1:9" x14ac:dyDescent="0.2">
      <c r="A193" s="2">
        <v>12</v>
      </c>
      <c r="B193" s="1" t="s">
        <v>106</v>
      </c>
      <c r="C193" s="4">
        <v>90</v>
      </c>
      <c r="D193" s="8">
        <v>2.9</v>
      </c>
      <c r="E193" s="4">
        <v>53</v>
      </c>
      <c r="F193" s="8">
        <v>4.0999999999999996</v>
      </c>
      <c r="G193" s="4">
        <v>37</v>
      </c>
      <c r="H193" s="8">
        <v>2.0499999999999998</v>
      </c>
      <c r="I193" s="4">
        <v>0</v>
      </c>
    </row>
    <row r="194" spans="1:9" x14ac:dyDescent="0.2">
      <c r="A194" s="2">
        <v>13</v>
      </c>
      <c r="B194" s="1" t="s">
        <v>121</v>
      </c>
      <c r="C194" s="4">
        <v>89</v>
      </c>
      <c r="D194" s="8">
        <v>2.87</v>
      </c>
      <c r="E194" s="4">
        <v>21</v>
      </c>
      <c r="F194" s="8">
        <v>1.62</v>
      </c>
      <c r="G194" s="4">
        <v>68</v>
      </c>
      <c r="H194" s="8">
        <v>3.77</v>
      </c>
      <c r="I194" s="4">
        <v>0</v>
      </c>
    </row>
    <row r="195" spans="1:9" x14ac:dyDescent="0.2">
      <c r="A195" s="2">
        <v>14</v>
      </c>
      <c r="B195" s="1" t="s">
        <v>103</v>
      </c>
      <c r="C195" s="4">
        <v>68</v>
      </c>
      <c r="D195" s="8">
        <v>2.19</v>
      </c>
      <c r="E195" s="4">
        <v>9</v>
      </c>
      <c r="F195" s="8">
        <v>0.7</v>
      </c>
      <c r="G195" s="4">
        <v>59</v>
      </c>
      <c r="H195" s="8">
        <v>3.27</v>
      </c>
      <c r="I195" s="4">
        <v>0</v>
      </c>
    </row>
    <row r="196" spans="1:9" x14ac:dyDescent="0.2">
      <c r="A196" s="2">
        <v>15</v>
      </c>
      <c r="B196" s="1" t="s">
        <v>98</v>
      </c>
      <c r="C196" s="4">
        <v>61</v>
      </c>
      <c r="D196" s="8">
        <v>1.97</v>
      </c>
      <c r="E196" s="4">
        <v>5</v>
      </c>
      <c r="F196" s="8">
        <v>0.39</v>
      </c>
      <c r="G196" s="4">
        <v>55</v>
      </c>
      <c r="H196" s="8">
        <v>3.05</v>
      </c>
      <c r="I196" s="4">
        <v>1</v>
      </c>
    </row>
    <row r="197" spans="1:9" x14ac:dyDescent="0.2">
      <c r="A197" s="2">
        <v>16</v>
      </c>
      <c r="B197" s="1" t="s">
        <v>118</v>
      </c>
      <c r="C197" s="4">
        <v>56</v>
      </c>
      <c r="D197" s="8">
        <v>1.8</v>
      </c>
      <c r="E197" s="4">
        <v>8</v>
      </c>
      <c r="F197" s="8">
        <v>0.62</v>
      </c>
      <c r="G197" s="4">
        <v>48</v>
      </c>
      <c r="H197" s="8">
        <v>2.66</v>
      </c>
      <c r="I197" s="4">
        <v>0</v>
      </c>
    </row>
    <row r="198" spans="1:9" x14ac:dyDescent="0.2">
      <c r="A198" s="2">
        <v>17</v>
      </c>
      <c r="B198" s="1" t="s">
        <v>102</v>
      </c>
      <c r="C198" s="4">
        <v>51</v>
      </c>
      <c r="D198" s="8">
        <v>1.64</v>
      </c>
      <c r="E198" s="4">
        <v>10</v>
      </c>
      <c r="F198" s="8">
        <v>0.77</v>
      </c>
      <c r="G198" s="4">
        <v>41</v>
      </c>
      <c r="H198" s="8">
        <v>2.2799999999999998</v>
      </c>
      <c r="I198" s="4">
        <v>0</v>
      </c>
    </row>
    <row r="199" spans="1:9" x14ac:dyDescent="0.2">
      <c r="A199" s="2">
        <v>18</v>
      </c>
      <c r="B199" s="1" t="s">
        <v>119</v>
      </c>
      <c r="C199" s="4">
        <v>45</v>
      </c>
      <c r="D199" s="8">
        <v>1.45</v>
      </c>
      <c r="E199" s="4">
        <v>8</v>
      </c>
      <c r="F199" s="8">
        <v>0.62</v>
      </c>
      <c r="G199" s="4">
        <v>36</v>
      </c>
      <c r="H199" s="8">
        <v>2</v>
      </c>
      <c r="I199" s="4">
        <v>1</v>
      </c>
    </row>
    <row r="200" spans="1:9" x14ac:dyDescent="0.2">
      <c r="A200" s="2">
        <v>19</v>
      </c>
      <c r="B200" s="1" t="s">
        <v>99</v>
      </c>
      <c r="C200" s="4">
        <v>44</v>
      </c>
      <c r="D200" s="8">
        <v>1.42</v>
      </c>
      <c r="E200" s="4">
        <v>11</v>
      </c>
      <c r="F200" s="8">
        <v>0.85</v>
      </c>
      <c r="G200" s="4">
        <v>33</v>
      </c>
      <c r="H200" s="8">
        <v>1.83</v>
      </c>
      <c r="I200" s="4">
        <v>0</v>
      </c>
    </row>
    <row r="201" spans="1:9" x14ac:dyDescent="0.2">
      <c r="A201" s="2">
        <v>20</v>
      </c>
      <c r="B201" s="1" t="s">
        <v>130</v>
      </c>
      <c r="C201" s="4">
        <v>37</v>
      </c>
      <c r="D201" s="8">
        <v>1.19</v>
      </c>
      <c r="E201" s="4">
        <v>12</v>
      </c>
      <c r="F201" s="8">
        <v>0.93</v>
      </c>
      <c r="G201" s="4">
        <v>25</v>
      </c>
      <c r="H201" s="8">
        <v>1.39</v>
      </c>
      <c r="I201" s="4">
        <v>0</v>
      </c>
    </row>
    <row r="202" spans="1:9" x14ac:dyDescent="0.2">
      <c r="A202" s="1"/>
      <c r="C202" s="4"/>
      <c r="D202" s="8"/>
      <c r="E202" s="4"/>
      <c r="F202" s="8"/>
      <c r="G202" s="4"/>
      <c r="H202" s="8"/>
      <c r="I202" s="4"/>
    </row>
    <row r="203" spans="1:9" x14ac:dyDescent="0.2">
      <c r="A203" s="1" t="s">
        <v>9</v>
      </c>
      <c r="C203" s="4"/>
      <c r="D203" s="8"/>
      <c r="E203" s="4"/>
      <c r="F203" s="8"/>
      <c r="G203" s="4"/>
      <c r="H203" s="8"/>
      <c r="I203" s="4"/>
    </row>
    <row r="204" spans="1:9" x14ac:dyDescent="0.2">
      <c r="A204" s="2">
        <v>1</v>
      </c>
      <c r="B204" s="1" t="s">
        <v>110</v>
      </c>
      <c r="C204" s="4">
        <v>361</v>
      </c>
      <c r="D204" s="8">
        <v>13.65</v>
      </c>
      <c r="E204" s="4">
        <v>87</v>
      </c>
      <c r="F204" s="8">
        <v>8.35</v>
      </c>
      <c r="G204" s="4">
        <v>274</v>
      </c>
      <c r="H204" s="8">
        <v>17.149999999999999</v>
      </c>
      <c r="I204" s="4">
        <v>0</v>
      </c>
    </row>
    <row r="205" spans="1:9" x14ac:dyDescent="0.2">
      <c r="A205" s="2">
        <v>2</v>
      </c>
      <c r="B205" s="1" t="s">
        <v>113</v>
      </c>
      <c r="C205" s="4">
        <v>357</v>
      </c>
      <c r="D205" s="8">
        <v>13.5</v>
      </c>
      <c r="E205" s="4">
        <v>296</v>
      </c>
      <c r="F205" s="8">
        <v>28.41</v>
      </c>
      <c r="G205" s="4">
        <v>61</v>
      </c>
      <c r="H205" s="8">
        <v>3.82</v>
      </c>
      <c r="I205" s="4">
        <v>0</v>
      </c>
    </row>
    <row r="206" spans="1:9" x14ac:dyDescent="0.2">
      <c r="A206" s="2">
        <v>3</v>
      </c>
      <c r="B206" s="1" t="s">
        <v>108</v>
      </c>
      <c r="C206" s="4">
        <v>171</v>
      </c>
      <c r="D206" s="8">
        <v>6.47</v>
      </c>
      <c r="E206" s="4">
        <v>82</v>
      </c>
      <c r="F206" s="8">
        <v>7.87</v>
      </c>
      <c r="G206" s="4">
        <v>89</v>
      </c>
      <c r="H206" s="8">
        <v>5.57</v>
      </c>
      <c r="I206" s="4">
        <v>0</v>
      </c>
    </row>
    <row r="207" spans="1:9" x14ac:dyDescent="0.2">
      <c r="A207" s="2">
        <v>4</v>
      </c>
      <c r="B207" s="1" t="s">
        <v>104</v>
      </c>
      <c r="C207" s="4">
        <v>125</v>
      </c>
      <c r="D207" s="8">
        <v>4.7300000000000004</v>
      </c>
      <c r="E207" s="4">
        <v>29</v>
      </c>
      <c r="F207" s="8">
        <v>2.78</v>
      </c>
      <c r="G207" s="4">
        <v>96</v>
      </c>
      <c r="H207" s="8">
        <v>6.01</v>
      </c>
      <c r="I207" s="4">
        <v>0</v>
      </c>
    </row>
    <row r="208" spans="1:9" x14ac:dyDescent="0.2">
      <c r="A208" s="2">
        <v>5</v>
      </c>
      <c r="B208" s="1" t="s">
        <v>122</v>
      </c>
      <c r="C208" s="4">
        <v>117</v>
      </c>
      <c r="D208" s="8">
        <v>4.43</v>
      </c>
      <c r="E208" s="4">
        <v>50</v>
      </c>
      <c r="F208" s="8">
        <v>4.8</v>
      </c>
      <c r="G208" s="4">
        <v>67</v>
      </c>
      <c r="H208" s="8">
        <v>4.1900000000000004</v>
      </c>
      <c r="I208" s="4">
        <v>0</v>
      </c>
    </row>
    <row r="209" spans="1:9" x14ac:dyDescent="0.2">
      <c r="A209" s="2">
        <v>6</v>
      </c>
      <c r="B209" s="1" t="s">
        <v>111</v>
      </c>
      <c r="C209" s="4">
        <v>105</v>
      </c>
      <c r="D209" s="8">
        <v>3.97</v>
      </c>
      <c r="E209" s="4">
        <v>55</v>
      </c>
      <c r="F209" s="8">
        <v>5.28</v>
      </c>
      <c r="G209" s="4">
        <v>50</v>
      </c>
      <c r="H209" s="8">
        <v>3.13</v>
      </c>
      <c r="I209" s="4">
        <v>0</v>
      </c>
    </row>
    <row r="210" spans="1:9" x14ac:dyDescent="0.2">
      <c r="A210" s="2">
        <v>7</v>
      </c>
      <c r="B210" s="1" t="s">
        <v>114</v>
      </c>
      <c r="C210" s="4">
        <v>102</v>
      </c>
      <c r="D210" s="8">
        <v>3.86</v>
      </c>
      <c r="E210" s="4">
        <v>77</v>
      </c>
      <c r="F210" s="8">
        <v>7.39</v>
      </c>
      <c r="G210" s="4">
        <v>25</v>
      </c>
      <c r="H210" s="8">
        <v>1.56</v>
      </c>
      <c r="I210" s="4">
        <v>0</v>
      </c>
    </row>
    <row r="211" spans="1:9" x14ac:dyDescent="0.2">
      <c r="A211" s="2">
        <v>8</v>
      </c>
      <c r="B211" s="1" t="s">
        <v>103</v>
      </c>
      <c r="C211" s="4">
        <v>99</v>
      </c>
      <c r="D211" s="8">
        <v>3.74</v>
      </c>
      <c r="E211" s="4">
        <v>16</v>
      </c>
      <c r="F211" s="8">
        <v>1.54</v>
      </c>
      <c r="G211" s="4">
        <v>83</v>
      </c>
      <c r="H211" s="8">
        <v>5.19</v>
      </c>
      <c r="I211" s="4">
        <v>0</v>
      </c>
    </row>
    <row r="212" spans="1:9" x14ac:dyDescent="0.2">
      <c r="A212" s="2">
        <v>9</v>
      </c>
      <c r="B212" s="1" t="s">
        <v>107</v>
      </c>
      <c r="C212" s="4">
        <v>82</v>
      </c>
      <c r="D212" s="8">
        <v>3.1</v>
      </c>
      <c r="E212" s="4">
        <v>34</v>
      </c>
      <c r="F212" s="8">
        <v>3.26</v>
      </c>
      <c r="G212" s="4">
        <v>48</v>
      </c>
      <c r="H212" s="8">
        <v>3</v>
      </c>
      <c r="I212" s="4">
        <v>0</v>
      </c>
    </row>
    <row r="213" spans="1:9" x14ac:dyDescent="0.2">
      <c r="A213" s="2">
        <v>10</v>
      </c>
      <c r="B213" s="1" t="s">
        <v>106</v>
      </c>
      <c r="C213" s="4">
        <v>72</v>
      </c>
      <c r="D213" s="8">
        <v>2.72</v>
      </c>
      <c r="E213" s="4">
        <v>48</v>
      </c>
      <c r="F213" s="8">
        <v>4.6100000000000003</v>
      </c>
      <c r="G213" s="4">
        <v>24</v>
      </c>
      <c r="H213" s="8">
        <v>1.5</v>
      </c>
      <c r="I213" s="4">
        <v>0</v>
      </c>
    </row>
    <row r="214" spans="1:9" x14ac:dyDescent="0.2">
      <c r="A214" s="2">
        <v>11</v>
      </c>
      <c r="B214" s="1" t="s">
        <v>102</v>
      </c>
      <c r="C214" s="4">
        <v>68</v>
      </c>
      <c r="D214" s="8">
        <v>2.57</v>
      </c>
      <c r="E214" s="4">
        <v>13</v>
      </c>
      <c r="F214" s="8">
        <v>1.25</v>
      </c>
      <c r="G214" s="4">
        <v>55</v>
      </c>
      <c r="H214" s="8">
        <v>3.44</v>
      </c>
      <c r="I214" s="4">
        <v>0</v>
      </c>
    </row>
    <row r="215" spans="1:9" x14ac:dyDescent="0.2">
      <c r="A215" s="2">
        <v>12</v>
      </c>
      <c r="B215" s="1" t="s">
        <v>105</v>
      </c>
      <c r="C215" s="4">
        <v>61</v>
      </c>
      <c r="D215" s="8">
        <v>2.31</v>
      </c>
      <c r="E215" s="4">
        <v>20</v>
      </c>
      <c r="F215" s="8">
        <v>1.92</v>
      </c>
      <c r="G215" s="4">
        <v>41</v>
      </c>
      <c r="H215" s="8">
        <v>2.57</v>
      </c>
      <c r="I215" s="4">
        <v>0</v>
      </c>
    </row>
    <row r="216" spans="1:9" x14ac:dyDescent="0.2">
      <c r="A216" s="2">
        <v>12</v>
      </c>
      <c r="B216" s="1" t="s">
        <v>109</v>
      </c>
      <c r="C216" s="4">
        <v>61</v>
      </c>
      <c r="D216" s="8">
        <v>2.31</v>
      </c>
      <c r="E216" s="4">
        <v>7</v>
      </c>
      <c r="F216" s="8">
        <v>0.67</v>
      </c>
      <c r="G216" s="4">
        <v>54</v>
      </c>
      <c r="H216" s="8">
        <v>3.38</v>
      </c>
      <c r="I216" s="4">
        <v>0</v>
      </c>
    </row>
    <row r="217" spans="1:9" x14ac:dyDescent="0.2">
      <c r="A217" s="2">
        <v>14</v>
      </c>
      <c r="B217" s="1" t="s">
        <v>116</v>
      </c>
      <c r="C217" s="4">
        <v>60</v>
      </c>
      <c r="D217" s="8">
        <v>2.27</v>
      </c>
      <c r="E217" s="4">
        <v>47</v>
      </c>
      <c r="F217" s="8">
        <v>4.51</v>
      </c>
      <c r="G217" s="4">
        <v>13</v>
      </c>
      <c r="H217" s="8">
        <v>0.81</v>
      </c>
      <c r="I217" s="4">
        <v>0</v>
      </c>
    </row>
    <row r="218" spans="1:9" x14ac:dyDescent="0.2">
      <c r="A218" s="2">
        <v>15</v>
      </c>
      <c r="B218" s="1" t="s">
        <v>100</v>
      </c>
      <c r="C218" s="4">
        <v>57</v>
      </c>
      <c r="D218" s="8">
        <v>2.16</v>
      </c>
      <c r="E218" s="4">
        <v>4</v>
      </c>
      <c r="F218" s="8">
        <v>0.38</v>
      </c>
      <c r="G218" s="4">
        <v>53</v>
      </c>
      <c r="H218" s="8">
        <v>3.32</v>
      </c>
      <c r="I218" s="4">
        <v>0</v>
      </c>
    </row>
    <row r="219" spans="1:9" x14ac:dyDescent="0.2">
      <c r="A219" s="2">
        <v>16</v>
      </c>
      <c r="B219" s="1" t="s">
        <v>98</v>
      </c>
      <c r="C219" s="4">
        <v>55</v>
      </c>
      <c r="D219" s="8">
        <v>2.08</v>
      </c>
      <c r="E219" s="4">
        <v>1</v>
      </c>
      <c r="F219" s="8">
        <v>0.1</v>
      </c>
      <c r="G219" s="4">
        <v>54</v>
      </c>
      <c r="H219" s="8">
        <v>3.38</v>
      </c>
      <c r="I219" s="4">
        <v>0</v>
      </c>
    </row>
    <row r="220" spans="1:9" x14ac:dyDescent="0.2">
      <c r="A220" s="2">
        <v>16</v>
      </c>
      <c r="B220" s="1" t="s">
        <v>99</v>
      </c>
      <c r="C220" s="4">
        <v>55</v>
      </c>
      <c r="D220" s="8">
        <v>2.08</v>
      </c>
      <c r="E220" s="4">
        <v>8</v>
      </c>
      <c r="F220" s="8">
        <v>0.77</v>
      </c>
      <c r="G220" s="4">
        <v>47</v>
      </c>
      <c r="H220" s="8">
        <v>2.94</v>
      </c>
      <c r="I220" s="4">
        <v>0</v>
      </c>
    </row>
    <row r="221" spans="1:9" x14ac:dyDescent="0.2">
      <c r="A221" s="2">
        <v>18</v>
      </c>
      <c r="B221" s="1" t="s">
        <v>119</v>
      </c>
      <c r="C221" s="4">
        <v>46</v>
      </c>
      <c r="D221" s="8">
        <v>1.74</v>
      </c>
      <c r="E221" s="4">
        <v>2</v>
      </c>
      <c r="F221" s="8">
        <v>0.19</v>
      </c>
      <c r="G221" s="4">
        <v>44</v>
      </c>
      <c r="H221" s="8">
        <v>2.75</v>
      </c>
      <c r="I221" s="4">
        <v>0</v>
      </c>
    </row>
    <row r="222" spans="1:9" x14ac:dyDescent="0.2">
      <c r="A222" s="2">
        <v>19</v>
      </c>
      <c r="B222" s="1" t="s">
        <v>112</v>
      </c>
      <c r="C222" s="4">
        <v>42</v>
      </c>
      <c r="D222" s="8">
        <v>1.59</v>
      </c>
      <c r="E222" s="4">
        <v>13</v>
      </c>
      <c r="F222" s="8">
        <v>1.25</v>
      </c>
      <c r="G222" s="4">
        <v>29</v>
      </c>
      <c r="H222" s="8">
        <v>1.81</v>
      </c>
      <c r="I222" s="4">
        <v>0</v>
      </c>
    </row>
    <row r="223" spans="1:9" x14ac:dyDescent="0.2">
      <c r="A223" s="2">
        <v>20</v>
      </c>
      <c r="B223" s="1" t="s">
        <v>115</v>
      </c>
      <c r="C223" s="4">
        <v>40</v>
      </c>
      <c r="D223" s="8">
        <v>1.51</v>
      </c>
      <c r="E223" s="4">
        <v>20</v>
      </c>
      <c r="F223" s="8">
        <v>1.92</v>
      </c>
      <c r="G223" s="4">
        <v>18</v>
      </c>
      <c r="H223" s="8">
        <v>1.1299999999999999</v>
      </c>
      <c r="I223" s="4">
        <v>1</v>
      </c>
    </row>
    <row r="224" spans="1:9" x14ac:dyDescent="0.2">
      <c r="A224" s="1"/>
      <c r="C224" s="4"/>
      <c r="D224" s="8"/>
      <c r="E224" s="4"/>
      <c r="F224" s="8"/>
      <c r="G224" s="4"/>
      <c r="H224" s="8"/>
      <c r="I224" s="4"/>
    </row>
    <row r="225" spans="1:9" x14ac:dyDescent="0.2">
      <c r="A225" s="1" t="s">
        <v>10</v>
      </c>
      <c r="C225" s="4"/>
      <c r="D225" s="8"/>
      <c r="E225" s="4"/>
      <c r="F225" s="8"/>
      <c r="G225" s="4"/>
      <c r="H225" s="8"/>
      <c r="I225" s="4"/>
    </row>
    <row r="226" spans="1:9" x14ac:dyDescent="0.2">
      <c r="A226" s="2">
        <v>1</v>
      </c>
      <c r="B226" s="1" t="s">
        <v>113</v>
      </c>
      <c r="C226" s="4">
        <v>235</v>
      </c>
      <c r="D226" s="8">
        <v>10.16</v>
      </c>
      <c r="E226" s="4">
        <v>219</v>
      </c>
      <c r="F226" s="8">
        <v>21.75</v>
      </c>
      <c r="G226" s="4">
        <v>16</v>
      </c>
      <c r="H226" s="8">
        <v>1.23</v>
      </c>
      <c r="I226" s="4">
        <v>0</v>
      </c>
    </row>
    <row r="227" spans="1:9" x14ac:dyDescent="0.2">
      <c r="A227" s="2">
        <v>2</v>
      </c>
      <c r="B227" s="1" t="s">
        <v>110</v>
      </c>
      <c r="C227" s="4">
        <v>184</v>
      </c>
      <c r="D227" s="8">
        <v>7.96</v>
      </c>
      <c r="E227" s="4">
        <v>65</v>
      </c>
      <c r="F227" s="8">
        <v>6.45</v>
      </c>
      <c r="G227" s="4">
        <v>118</v>
      </c>
      <c r="H227" s="8">
        <v>9.06</v>
      </c>
      <c r="I227" s="4">
        <v>1</v>
      </c>
    </row>
    <row r="228" spans="1:9" x14ac:dyDescent="0.2">
      <c r="A228" s="2">
        <v>3</v>
      </c>
      <c r="B228" s="1" t="s">
        <v>101</v>
      </c>
      <c r="C228" s="4">
        <v>168</v>
      </c>
      <c r="D228" s="8">
        <v>7.26</v>
      </c>
      <c r="E228" s="4">
        <v>51</v>
      </c>
      <c r="F228" s="8">
        <v>5.0599999999999996</v>
      </c>
      <c r="G228" s="4">
        <v>117</v>
      </c>
      <c r="H228" s="8">
        <v>8.99</v>
      </c>
      <c r="I228" s="4">
        <v>0</v>
      </c>
    </row>
    <row r="229" spans="1:9" x14ac:dyDescent="0.2">
      <c r="A229" s="2">
        <v>4</v>
      </c>
      <c r="B229" s="1" t="s">
        <v>114</v>
      </c>
      <c r="C229" s="4">
        <v>148</v>
      </c>
      <c r="D229" s="8">
        <v>6.4</v>
      </c>
      <c r="E229" s="4">
        <v>129</v>
      </c>
      <c r="F229" s="8">
        <v>12.81</v>
      </c>
      <c r="G229" s="4">
        <v>19</v>
      </c>
      <c r="H229" s="8">
        <v>1.46</v>
      </c>
      <c r="I229" s="4">
        <v>0</v>
      </c>
    </row>
    <row r="230" spans="1:9" x14ac:dyDescent="0.2">
      <c r="A230" s="2">
        <v>5</v>
      </c>
      <c r="B230" s="1" t="s">
        <v>127</v>
      </c>
      <c r="C230" s="4">
        <v>103</v>
      </c>
      <c r="D230" s="8">
        <v>4.45</v>
      </c>
      <c r="E230" s="4">
        <v>14</v>
      </c>
      <c r="F230" s="8">
        <v>1.39</v>
      </c>
      <c r="G230" s="4">
        <v>89</v>
      </c>
      <c r="H230" s="8">
        <v>6.84</v>
      </c>
      <c r="I230" s="4">
        <v>0</v>
      </c>
    </row>
    <row r="231" spans="1:9" x14ac:dyDescent="0.2">
      <c r="A231" s="2">
        <v>6</v>
      </c>
      <c r="B231" s="1" t="s">
        <v>100</v>
      </c>
      <c r="C231" s="4">
        <v>98</v>
      </c>
      <c r="D231" s="8">
        <v>4.24</v>
      </c>
      <c r="E231" s="4">
        <v>7</v>
      </c>
      <c r="F231" s="8">
        <v>0.7</v>
      </c>
      <c r="G231" s="4">
        <v>91</v>
      </c>
      <c r="H231" s="8">
        <v>6.99</v>
      </c>
      <c r="I231" s="4">
        <v>0</v>
      </c>
    </row>
    <row r="232" spans="1:9" x14ac:dyDescent="0.2">
      <c r="A232" s="2">
        <v>7</v>
      </c>
      <c r="B232" s="1" t="s">
        <v>106</v>
      </c>
      <c r="C232" s="4">
        <v>90</v>
      </c>
      <c r="D232" s="8">
        <v>3.89</v>
      </c>
      <c r="E232" s="4">
        <v>74</v>
      </c>
      <c r="F232" s="8">
        <v>7.35</v>
      </c>
      <c r="G232" s="4">
        <v>16</v>
      </c>
      <c r="H232" s="8">
        <v>1.23</v>
      </c>
      <c r="I232" s="4">
        <v>0</v>
      </c>
    </row>
    <row r="233" spans="1:9" x14ac:dyDescent="0.2">
      <c r="A233" s="2">
        <v>8</v>
      </c>
      <c r="B233" s="1" t="s">
        <v>98</v>
      </c>
      <c r="C233" s="4">
        <v>88</v>
      </c>
      <c r="D233" s="8">
        <v>3.8</v>
      </c>
      <c r="E233" s="4">
        <v>19</v>
      </c>
      <c r="F233" s="8">
        <v>1.89</v>
      </c>
      <c r="G233" s="4">
        <v>69</v>
      </c>
      <c r="H233" s="8">
        <v>5.3</v>
      </c>
      <c r="I233" s="4">
        <v>0</v>
      </c>
    </row>
    <row r="234" spans="1:9" x14ac:dyDescent="0.2">
      <c r="A234" s="2">
        <v>9</v>
      </c>
      <c r="B234" s="1" t="s">
        <v>108</v>
      </c>
      <c r="C234" s="4">
        <v>83</v>
      </c>
      <c r="D234" s="8">
        <v>3.59</v>
      </c>
      <c r="E234" s="4">
        <v>56</v>
      </c>
      <c r="F234" s="8">
        <v>5.56</v>
      </c>
      <c r="G234" s="4">
        <v>27</v>
      </c>
      <c r="H234" s="8">
        <v>2.0699999999999998</v>
      </c>
      <c r="I234" s="4">
        <v>0</v>
      </c>
    </row>
    <row r="235" spans="1:9" x14ac:dyDescent="0.2">
      <c r="A235" s="2">
        <v>10</v>
      </c>
      <c r="B235" s="1" t="s">
        <v>126</v>
      </c>
      <c r="C235" s="4">
        <v>75</v>
      </c>
      <c r="D235" s="8">
        <v>3.24</v>
      </c>
      <c r="E235" s="4">
        <v>23</v>
      </c>
      <c r="F235" s="8">
        <v>2.2799999999999998</v>
      </c>
      <c r="G235" s="4">
        <v>52</v>
      </c>
      <c r="H235" s="8">
        <v>3.99</v>
      </c>
      <c r="I235" s="4">
        <v>0</v>
      </c>
    </row>
    <row r="236" spans="1:9" x14ac:dyDescent="0.2">
      <c r="A236" s="2">
        <v>11</v>
      </c>
      <c r="B236" s="1" t="s">
        <v>99</v>
      </c>
      <c r="C236" s="4">
        <v>71</v>
      </c>
      <c r="D236" s="8">
        <v>3.07</v>
      </c>
      <c r="E236" s="4">
        <v>17</v>
      </c>
      <c r="F236" s="8">
        <v>1.69</v>
      </c>
      <c r="G236" s="4">
        <v>54</v>
      </c>
      <c r="H236" s="8">
        <v>4.1500000000000004</v>
      </c>
      <c r="I236" s="4">
        <v>0</v>
      </c>
    </row>
    <row r="237" spans="1:9" x14ac:dyDescent="0.2">
      <c r="A237" s="2">
        <v>12</v>
      </c>
      <c r="B237" s="1" t="s">
        <v>116</v>
      </c>
      <c r="C237" s="4">
        <v>70</v>
      </c>
      <c r="D237" s="8">
        <v>3.03</v>
      </c>
      <c r="E237" s="4">
        <v>63</v>
      </c>
      <c r="F237" s="8">
        <v>6.26</v>
      </c>
      <c r="G237" s="4">
        <v>7</v>
      </c>
      <c r="H237" s="8">
        <v>0.54</v>
      </c>
      <c r="I237" s="4">
        <v>0</v>
      </c>
    </row>
    <row r="238" spans="1:9" x14ac:dyDescent="0.2">
      <c r="A238" s="2">
        <v>13</v>
      </c>
      <c r="B238" s="1" t="s">
        <v>102</v>
      </c>
      <c r="C238" s="4">
        <v>64</v>
      </c>
      <c r="D238" s="8">
        <v>2.77</v>
      </c>
      <c r="E238" s="4">
        <v>17</v>
      </c>
      <c r="F238" s="8">
        <v>1.69</v>
      </c>
      <c r="G238" s="4">
        <v>47</v>
      </c>
      <c r="H238" s="8">
        <v>3.61</v>
      </c>
      <c r="I238" s="4">
        <v>0</v>
      </c>
    </row>
    <row r="239" spans="1:9" x14ac:dyDescent="0.2">
      <c r="A239" s="2">
        <v>14</v>
      </c>
      <c r="B239" s="1" t="s">
        <v>107</v>
      </c>
      <c r="C239" s="4">
        <v>56</v>
      </c>
      <c r="D239" s="8">
        <v>2.42</v>
      </c>
      <c r="E239" s="4">
        <v>32</v>
      </c>
      <c r="F239" s="8">
        <v>3.18</v>
      </c>
      <c r="G239" s="4">
        <v>24</v>
      </c>
      <c r="H239" s="8">
        <v>1.84</v>
      </c>
      <c r="I239" s="4">
        <v>0</v>
      </c>
    </row>
    <row r="240" spans="1:9" x14ac:dyDescent="0.2">
      <c r="A240" s="2">
        <v>15</v>
      </c>
      <c r="B240" s="1" t="s">
        <v>103</v>
      </c>
      <c r="C240" s="4">
        <v>55</v>
      </c>
      <c r="D240" s="8">
        <v>2.38</v>
      </c>
      <c r="E240" s="4">
        <v>12</v>
      </c>
      <c r="F240" s="8">
        <v>1.19</v>
      </c>
      <c r="G240" s="4">
        <v>43</v>
      </c>
      <c r="H240" s="8">
        <v>3.3</v>
      </c>
      <c r="I240" s="4">
        <v>0</v>
      </c>
    </row>
    <row r="241" spans="1:9" x14ac:dyDescent="0.2">
      <c r="A241" s="2">
        <v>16</v>
      </c>
      <c r="B241" s="1" t="s">
        <v>115</v>
      </c>
      <c r="C241" s="4">
        <v>51</v>
      </c>
      <c r="D241" s="8">
        <v>2.2000000000000002</v>
      </c>
      <c r="E241" s="4">
        <v>36</v>
      </c>
      <c r="F241" s="8">
        <v>3.57</v>
      </c>
      <c r="G241" s="4">
        <v>14</v>
      </c>
      <c r="H241" s="8">
        <v>1.08</v>
      </c>
      <c r="I241" s="4">
        <v>0</v>
      </c>
    </row>
    <row r="242" spans="1:9" x14ac:dyDescent="0.2">
      <c r="A242" s="2">
        <v>17</v>
      </c>
      <c r="B242" s="1" t="s">
        <v>128</v>
      </c>
      <c r="C242" s="4">
        <v>37</v>
      </c>
      <c r="D242" s="8">
        <v>1.6</v>
      </c>
      <c r="E242" s="4">
        <v>5</v>
      </c>
      <c r="F242" s="8">
        <v>0.5</v>
      </c>
      <c r="G242" s="4">
        <v>32</v>
      </c>
      <c r="H242" s="8">
        <v>2.46</v>
      </c>
      <c r="I242" s="4">
        <v>0</v>
      </c>
    </row>
    <row r="243" spans="1:9" x14ac:dyDescent="0.2">
      <c r="A243" s="2">
        <v>18</v>
      </c>
      <c r="B243" s="1" t="s">
        <v>111</v>
      </c>
      <c r="C243" s="4">
        <v>36</v>
      </c>
      <c r="D243" s="8">
        <v>1.56</v>
      </c>
      <c r="E243" s="4">
        <v>18</v>
      </c>
      <c r="F243" s="8">
        <v>1.79</v>
      </c>
      <c r="G243" s="4">
        <v>18</v>
      </c>
      <c r="H243" s="8">
        <v>1.38</v>
      </c>
      <c r="I243" s="4">
        <v>0</v>
      </c>
    </row>
    <row r="244" spans="1:9" x14ac:dyDescent="0.2">
      <c r="A244" s="2">
        <v>19</v>
      </c>
      <c r="B244" s="1" t="s">
        <v>109</v>
      </c>
      <c r="C244" s="4">
        <v>32</v>
      </c>
      <c r="D244" s="8">
        <v>1.38</v>
      </c>
      <c r="E244" s="4">
        <v>6</v>
      </c>
      <c r="F244" s="8">
        <v>0.6</v>
      </c>
      <c r="G244" s="4">
        <v>26</v>
      </c>
      <c r="H244" s="8">
        <v>2</v>
      </c>
      <c r="I244" s="4">
        <v>0</v>
      </c>
    </row>
    <row r="245" spans="1:9" x14ac:dyDescent="0.2">
      <c r="A245" s="2">
        <v>19</v>
      </c>
      <c r="B245" s="1" t="s">
        <v>117</v>
      </c>
      <c r="C245" s="4">
        <v>32</v>
      </c>
      <c r="D245" s="8">
        <v>1.38</v>
      </c>
      <c r="E245" s="4">
        <v>0</v>
      </c>
      <c r="F245" s="8">
        <v>0</v>
      </c>
      <c r="G245" s="4">
        <v>31</v>
      </c>
      <c r="H245" s="8">
        <v>2.38</v>
      </c>
      <c r="I245" s="4">
        <v>1</v>
      </c>
    </row>
    <row r="246" spans="1:9" x14ac:dyDescent="0.2">
      <c r="A246" s="1"/>
      <c r="C246" s="4"/>
      <c r="D246" s="8"/>
      <c r="E246" s="4"/>
      <c r="F246" s="8"/>
      <c r="G246" s="4"/>
      <c r="H246" s="8"/>
      <c r="I246" s="4"/>
    </row>
    <row r="247" spans="1:9" x14ac:dyDescent="0.2">
      <c r="A247" s="1" t="s">
        <v>11</v>
      </c>
      <c r="C247" s="4"/>
      <c r="D247" s="8"/>
      <c r="E247" s="4"/>
      <c r="F247" s="8"/>
      <c r="G247" s="4"/>
      <c r="H247" s="8"/>
      <c r="I247" s="4"/>
    </row>
    <row r="248" spans="1:9" x14ac:dyDescent="0.2">
      <c r="A248" s="2">
        <v>1</v>
      </c>
      <c r="B248" s="1" t="s">
        <v>110</v>
      </c>
      <c r="C248" s="4">
        <v>534</v>
      </c>
      <c r="D248" s="8">
        <v>16.329999999999998</v>
      </c>
      <c r="E248" s="4">
        <v>254</v>
      </c>
      <c r="F248" s="8">
        <v>15.73</v>
      </c>
      <c r="G248" s="4">
        <v>279</v>
      </c>
      <c r="H248" s="8">
        <v>16.899999999999999</v>
      </c>
      <c r="I248" s="4">
        <v>1</v>
      </c>
    </row>
    <row r="249" spans="1:9" x14ac:dyDescent="0.2">
      <c r="A249" s="2">
        <v>2</v>
      </c>
      <c r="B249" s="1" t="s">
        <v>113</v>
      </c>
      <c r="C249" s="4">
        <v>403</v>
      </c>
      <c r="D249" s="8">
        <v>12.32</v>
      </c>
      <c r="E249" s="4">
        <v>370</v>
      </c>
      <c r="F249" s="8">
        <v>22.91</v>
      </c>
      <c r="G249" s="4">
        <v>33</v>
      </c>
      <c r="H249" s="8">
        <v>2</v>
      </c>
      <c r="I249" s="4">
        <v>0</v>
      </c>
    </row>
    <row r="250" spans="1:9" x14ac:dyDescent="0.2">
      <c r="A250" s="2">
        <v>3</v>
      </c>
      <c r="B250" s="1" t="s">
        <v>114</v>
      </c>
      <c r="C250" s="4">
        <v>289</v>
      </c>
      <c r="D250" s="8">
        <v>8.84</v>
      </c>
      <c r="E250" s="4">
        <v>255</v>
      </c>
      <c r="F250" s="8">
        <v>15.79</v>
      </c>
      <c r="G250" s="4">
        <v>34</v>
      </c>
      <c r="H250" s="8">
        <v>2.06</v>
      </c>
      <c r="I250" s="4">
        <v>0</v>
      </c>
    </row>
    <row r="251" spans="1:9" x14ac:dyDescent="0.2">
      <c r="A251" s="2">
        <v>4</v>
      </c>
      <c r="B251" s="1" t="s">
        <v>99</v>
      </c>
      <c r="C251" s="4">
        <v>147</v>
      </c>
      <c r="D251" s="8">
        <v>4.5</v>
      </c>
      <c r="E251" s="4">
        <v>25</v>
      </c>
      <c r="F251" s="8">
        <v>1.55</v>
      </c>
      <c r="G251" s="4">
        <v>122</v>
      </c>
      <c r="H251" s="8">
        <v>7.39</v>
      </c>
      <c r="I251" s="4">
        <v>0</v>
      </c>
    </row>
    <row r="252" spans="1:9" x14ac:dyDescent="0.2">
      <c r="A252" s="2">
        <v>5</v>
      </c>
      <c r="B252" s="1" t="s">
        <v>116</v>
      </c>
      <c r="C252" s="4">
        <v>146</v>
      </c>
      <c r="D252" s="8">
        <v>4.46</v>
      </c>
      <c r="E252" s="4">
        <v>125</v>
      </c>
      <c r="F252" s="8">
        <v>7.74</v>
      </c>
      <c r="G252" s="4">
        <v>21</v>
      </c>
      <c r="H252" s="8">
        <v>1.27</v>
      </c>
      <c r="I252" s="4">
        <v>0</v>
      </c>
    </row>
    <row r="253" spans="1:9" x14ac:dyDescent="0.2">
      <c r="A253" s="2">
        <v>6</v>
      </c>
      <c r="B253" s="1" t="s">
        <v>100</v>
      </c>
      <c r="C253" s="4">
        <v>135</v>
      </c>
      <c r="D253" s="8">
        <v>4.13</v>
      </c>
      <c r="E253" s="4">
        <v>15</v>
      </c>
      <c r="F253" s="8">
        <v>0.93</v>
      </c>
      <c r="G253" s="4">
        <v>120</v>
      </c>
      <c r="H253" s="8">
        <v>7.27</v>
      </c>
      <c r="I253" s="4">
        <v>0</v>
      </c>
    </row>
    <row r="254" spans="1:9" x14ac:dyDescent="0.2">
      <c r="A254" s="2">
        <v>7</v>
      </c>
      <c r="B254" s="1" t="s">
        <v>98</v>
      </c>
      <c r="C254" s="4">
        <v>134</v>
      </c>
      <c r="D254" s="8">
        <v>4.0999999999999996</v>
      </c>
      <c r="E254" s="4">
        <v>24</v>
      </c>
      <c r="F254" s="8">
        <v>1.49</v>
      </c>
      <c r="G254" s="4">
        <v>110</v>
      </c>
      <c r="H254" s="8">
        <v>6.66</v>
      </c>
      <c r="I254" s="4">
        <v>0</v>
      </c>
    </row>
    <row r="255" spans="1:9" x14ac:dyDescent="0.2">
      <c r="A255" s="2">
        <v>8</v>
      </c>
      <c r="B255" s="1" t="s">
        <v>108</v>
      </c>
      <c r="C255" s="4">
        <v>126</v>
      </c>
      <c r="D255" s="8">
        <v>3.85</v>
      </c>
      <c r="E255" s="4">
        <v>85</v>
      </c>
      <c r="F255" s="8">
        <v>5.26</v>
      </c>
      <c r="G255" s="4">
        <v>41</v>
      </c>
      <c r="H255" s="8">
        <v>2.48</v>
      </c>
      <c r="I255" s="4">
        <v>0</v>
      </c>
    </row>
    <row r="256" spans="1:9" x14ac:dyDescent="0.2">
      <c r="A256" s="2">
        <v>9</v>
      </c>
      <c r="B256" s="1" t="s">
        <v>106</v>
      </c>
      <c r="C256" s="4">
        <v>108</v>
      </c>
      <c r="D256" s="8">
        <v>3.3</v>
      </c>
      <c r="E256" s="4">
        <v>85</v>
      </c>
      <c r="F256" s="8">
        <v>5.26</v>
      </c>
      <c r="G256" s="4">
        <v>23</v>
      </c>
      <c r="H256" s="8">
        <v>1.39</v>
      </c>
      <c r="I256" s="4">
        <v>0</v>
      </c>
    </row>
    <row r="257" spans="1:9" x14ac:dyDescent="0.2">
      <c r="A257" s="2">
        <v>10</v>
      </c>
      <c r="B257" s="1" t="s">
        <v>111</v>
      </c>
      <c r="C257" s="4">
        <v>91</v>
      </c>
      <c r="D257" s="8">
        <v>2.78</v>
      </c>
      <c r="E257" s="4">
        <v>53</v>
      </c>
      <c r="F257" s="8">
        <v>3.28</v>
      </c>
      <c r="G257" s="4">
        <v>38</v>
      </c>
      <c r="H257" s="8">
        <v>2.2999999999999998</v>
      </c>
      <c r="I257" s="4">
        <v>0</v>
      </c>
    </row>
    <row r="258" spans="1:9" x14ac:dyDescent="0.2">
      <c r="A258" s="2">
        <v>11</v>
      </c>
      <c r="B258" s="1" t="s">
        <v>115</v>
      </c>
      <c r="C258" s="4">
        <v>86</v>
      </c>
      <c r="D258" s="8">
        <v>2.63</v>
      </c>
      <c r="E258" s="4">
        <v>61</v>
      </c>
      <c r="F258" s="8">
        <v>3.78</v>
      </c>
      <c r="G258" s="4">
        <v>24</v>
      </c>
      <c r="H258" s="8">
        <v>1.45</v>
      </c>
      <c r="I258" s="4">
        <v>0</v>
      </c>
    </row>
    <row r="259" spans="1:9" x14ac:dyDescent="0.2">
      <c r="A259" s="2">
        <v>12</v>
      </c>
      <c r="B259" s="1" t="s">
        <v>103</v>
      </c>
      <c r="C259" s="4">
        <v>76</v>
      </c>
      <c r="D259" s="8">
        <v>2.3199999999999998</v>
      </c>
      <c r="E259" s="4">
        <v>6</v>
      </c>
      <c r="F259" s="8">
        <v>0.37</v>
      </c>
      <c r="G259" s="4">
        <v>70</v>
      </c>
      <c r="H259" s="8">
        <v>4.24</v>
      </c>
      <c r="I259" s="4">
        <v>0</v>
      </c>
    </row>
    <row r="260" spans="1:9" x14ac:dyDescent="0.2">
      <c r="A260" s="2">
        <v>12</v>
      </c>
      <c r="B260" s="1" t="s">
        <v>109</v>
      </c>
      <c r="C260" s="4">
        <v>76</v>
      </c>
      <c r="D260" s="8">
        <v>2.3199999999999998</v>
      </c>
      <c r="E260" s="4">
        <v>12</v>
      </c>
      <c r="F260" s="8">
        <v>0.74</v>
      </c>
      <c r="G260" s="4">
        <v>64</v>
      </c>
      <c r="H260" s="8">
        <v>3.88</v>
      </c>
      <c r="I260" s="4">
        <v>0</v>
      </c>
    </row>
    <row r="261" spans="1:9" x14ac:dyDescent="0.2">
      <c r="A261" s="2">
        <v>14</v>
      </c>
      <c r="B261" s="1" t="s">
        <v>112</v>
      </c>
      <c r="C261" s="4">
        <v>65</v>
      </c>
      <c r="D261" s="8">
        <v>1.99</v>
      </c>
      <c r="E261" s="4">
        <v>20</v>
      </c>
      <c r="F261" s="8">
        <v>1.24</v>
      </c>
      <c r="G261" s="4">
        <v>45</v>
      </c>
      <c r="H261" s="8">
        <v>2.73</v>
      </c>
      <c r="I261" s="4">
        <v>0</v>
      </c>
    </row>
    <row r="262" spans="1:9" x14ac:dyDescent="0.2">
      <c r="A262" s="2">
        <v>15</v>
      </c>
      <c r="B262" s="1" t="s">
        <v>104</v>
      </c>
      <c r="C262" s="4">
        <v>55</v>
      </c>
      <c r="D262" s="8">
        <v>1.68</v>
      </c>
      <c r="E262" s="4">
        <v>11</v>
      </c>
      <c r="F262" s="8">
        <v>0.68</v>
      </c>
      <c r="G262" s="4">
        <v>44</v>
      </c>
      <c r="H262" s="8">
        <v>2.67</v>
      </c>
      <c r="I262" s="4">
        <v>0</v>
      </c>
    </row>
    <row r="263" spans="1:9" x14ac:dyDescent="0.2">
      <c r="A263" s="2">
        <v>16</v>
      </c>
      <c r="B263" s="1" t="s">
        <v>117</v>
      </c>
      <c r="C263" s="4">
        <v>52</v>
      </c>
      <c r="D263" s="8">
        <v>1.59</v>
      </c>
      <c r="E263" s="4">
        <v>0</v>
      </c>
      <c r="F263" s="8">
        <v>0</v>
      </c>
      <c r="G263" s="4">
        <v>51</v>
      </c>
      <c r="H263" s="8">
        <v>3.09</v>
      </c>
      <c r="I263" s="4">
        <v>1</v>
      </c>
    </row>
    <row r="264" spans="1:9" x14ac:dyDescent="0.2">
      <c r="A264" s="2">
        <v>17</v>
      </c>
      <c r="B264" s="1" t="s">
        <v>107</v>
      </c>
      <c r="C264" s="4">
        <v>51</v>
      </c>
      <c r="D264" s="8">
        <v>1.56</v>
      </c>
      <c r="E264" s="4">
        <v>29</v>
      </c>
      <c r="F264" s="8">
        <v>1.8</v>
      </c>
      <c r="G264" s="4">
        <v>22</v>
      </c>
      <c r="H264" s="8">
        <v>1.33</v>
      </c>
      <c r="I264" s="4">
        <v>0</v>
      </c>
    </row>
    <row r="265" spans="1:9" x14ac:dyDescent="0.2">
      <c r="A265" s="2">
        <v>17</v>
      </c>
      <c r="B265" s="1" t="s">
        <v>130</v>
      </c>
      <c r="C265" s="4">
        <v>51</v>
      </c>
      <c r="D265" s="8">
        <v>1.56</v>
      </c>
      <c r="E265" s="4">
        <v>23</v>
      </c>
      <c r="F265" s="8">
        <v>1.42</v>
      </c>
      <c r="G265" s="4">
        <v>28</v>
      </c>
      <c r="H265" s="8">
        <v>1.7</v>
      </c>
      <c r="I265" s="4">
        <v>0</v>
      </c>
    </row>
    <row r="266" spans="1:9" x14ac:dyDescent="0.2">
      <c r="A266" s="2">
        <v>19</v>
      </c>
      <c r="B266" s="1" t="s">
        <v>119</v>
      </c>
      <c r="C266" s="4">
        <v>50</v>
      </c>
      <c r="D266" s="8">
        <v>1.53</v>
      </c>
      <c r="E266" s="4">
        <v>4</v>
      </c>
      <c r="F266" s="8">
        <v>0.25</v>
      </c>
      <c r="G266" s="4">
        <v>46</v>
      </c>
      <c r="H266" s="8">
        <v>2.79</v>
      </c>
      <c r="I266" s="4">
        <v>0</v>
      </c>
    </row>
    <row r="267" spans="1:9" x14ac:dyDescent="0.2">
      <c r="A267" s="2">
        <v>20</v>
      </c>
      <c r="B267" s="1" t="s">
        <v>105</v>
      </c>
      <c r="C267" s="4">
        <v>45</v>
      </c>
      <c r="D267" s="8">
        <v>1.38</v>
      </c>
      <c r="E267" s="4">
        <v>27</v>
      </c>
      <c r="F267" s="8">
        <v>1.67</v>
      </c>
      <c r="G267" s="4">
        <v>18</v>
      </c>
      <c r="H267" s="8">
        <v>1.0900000000000001</v>
      </c>
      <c r="I267" s="4">
        <v>0</v>
      </c>
    </row>
    <row r="268" spans="1:9" x14ac:dyDescent="0.2">
      <c r="A268" s="1"/>
      <c r="C268" s="4"/>
      <c r="D268" s="8"/>
      <c r="E268" s="4"/>
      <c r="F268" s="8"/>
      <c r="G268" s="4"/>
      <c r="H268" s="8"/>
      <c r="I268" s="4"/>
    </row>
    <row r="269" spans="1:9" x14ac:dyDescent="0.2">
      <c r="A269" s="1" t="s">
        <v>12</v>
      </c>
      <c r="C269" s="4"/>
      <c r="D269" s="8"/>
      <c r="E269" s="4"/>
      <c r="F269" s="8"/>
      <c r="G269" s="4"/>
      <c r="H269" s="8"/>
      <c r="I269" s="4"/>
    </row>
    <row r="270" spans="1:9" x14ac:dyDescent="0.2">
      <c r="A270" s="2">
        <v>1</v>
      </c>
      <c r="B270" s="1" t="s">
        <v>113</v>
      </c>
      <c r="C270" s="4">
        <v>328</v>
      </c>
      <c r="D270" s="8">
        <v>11.06</v>
      </c>
      <c r="E270" s="4">
        <v>301</v>
      </c>
      <c r="F270" s="8">
        <v>19.47</v>
      </c>
      <c r="G270" s="4">
        <v>27</v>
      </c>
      <c r="H270" s="8">
        <v>1.91</v>
      </c>
      <c r="I270" s="4">
        <v>0</v>
      </c>
    </row>
    <row r="271" spans="1:9" x14ac:dyDescent="0.2">
      <c r="A271" s="2">
        <v>2</v>
      </c>
      <c r="B271" s="1" t="s">
        <v>110</v>
      </c>
      <c r="C271" s="4">
        <v>287</v>
      </c>
      <c r="D271" s="8">
        <v>9.68</v>
      </c>
      <c r="E271" s="4">
        <v>95</v>
      </c>
      <c r="F271" s="8">
        <v>6.14</v>
      </c>
      <c r="G271" s="4">
        <v>192</v>
      </c>
      <c r="H271" s="8">
        <v>13.57</v>
      </c>
      <c r="I271" s="4">
        <v>0</v>
      </c>
    </row>
    <row r="272" spans="1:9" x14ac:dyDescent="0.2">
      <c r="A272" s="2">
        <v>3</v>
      </c>
      <c r="B272" s="1" t="s">
        <v>114</v>
      </c>
      <c r="C272" s="4">
        <v>172</v>
      </c>
      <c r="D272" s="8">
        <v>5.8</v>
      </c>
      <c r="E272" s="4">
        <v>142</v>
      </c>
      <c r="F272" s="8">
        <v>9.18</v>
      </c>
      <c r="G272" s="4">
        <v>30</v>
      </c>
      <c r="H272" s="8">
        <v>2.12</v>
      </c>
      <c r="I272" s="4">
        <v>0</v>
      </c>
    </row>
    <row r="273" spans="1:9" x14ac:dyDescent="0.2">
      <c r="A273" s="2">
        <v>4</v>
      </c>
      <c r="B273" s="1" t="s">
        <v>108</v>
      </c>
      <c r="C273" s="4">
        <v>157</v>
      </c>
      <c r="D273" s="8">
        <v>5.29</v>
      </c>
      <c r="E273" s="4">
        <v>100</v>
      </c>
      <c r="F273" s="8">
        <v>6.47</v>
      </c>
      <c r="G273" s="4">
        <v>57</v>
      </c>
      <c r="H273" s="8">
        <v>4.03</v>
      </c>
      <c r="I273" s="4">
        <v>0</v>
      </c>
    </row>
    <row r="274" spans="1:9" x14ac:dyDescent="0.2">
      <c r="A274" s="2">
        <v>5</v>
      </c>
      <c r="B274" s="1" t="s">
        <v>121</v>
      </c>
      <c r="C274" s="4">
        <v>144</v>
      </c>
      <c r="D274" s="8">
        <v>4.8600000000000003</v>
      </c>
      <c r="E274" s="4">
        <v>42</v>
      </c>
      <c r="F274" s="8">
        <v>2.72</v>
      </c>
      <c r="G274" s="4">
        <v>102</v>
      </c>
      <c r="H274" s="8">
        <v>7.21</v>
      </c>
      <c r="I274" s="4">
        <v>0</v>
      </c>
    </row>
    <row r="275" spans="1:9" x14ac:dyDescent="0.2">
      <c r="A275" s="2">
        <v>6</v>
      </c>
      <c r="B275" s="1" t="s">
        <v>106</v>
      </c>
      <c r="C275" s="4">
        <v>133</v>
      </c>
      <c r="D275" s="8">
        <v>4.4800000000000004</v>
      </c>
      <c r="E275" s="4">
        <v>106</v>
      </c>
      <c r="F275" s="8">
        <v>6.86</v>
      </c>
      <c r="G275" s="4">
        <v>27</v>
      </c>
      <c r="H275" s="8">
        <v>1.91</v>
      </c>
      <c r="I275" s="4">
        <v>0</v>
      </c>
    </row>
    <row r="276" spans="1:9" x14ac:dyDescent="0.2">
      <c r="A276" s="2">
        <v>7</v>
      </c>
      <c r="B276" s="1" t="s">
        <v>101</v>
      </c>
      <c r="C276" s="4">
        <v>130</v>
      </c>
      <c r="D276" s="8">
        <v>4.38</v>
      </c>
      <c r="E276" s="4">
        <v>44</v>
      </c>
      <c r="F276" s="8">
        <v>2.85</v>
      </c>
      <c r="G276" s="4">
        <v>86</v>
      </c>
      <c r="H276" s="8">
        <v>6.08</v>
      </c>
      <c r="I276" s="4">
        <v>0</v>
      </c>
    </row>
    <row r="277" spans="1:9" x14ac:dyDescent="0.2">
      <c r="A277" s="2">
        <v>8</v>
      </c>
      <c r="B277" s="1" t="s">
        <v>105</v>
      </c>
      <c r="C277" s="4">
        <v>126</v>
      </c>
      <c r="D277" s="8">
        <v>4.25</v>
      </c>
      <c r="E277" s="4">
        <v>109</v>
      </c>
      <c r="F277" s="8">
        <v>7.05</v>
      </c>
      <c r="G277" s="4">
        <v>17</v>
      </c>
      <c r="H277" s="8">
        <v>1.2</v>
      </c>
      <c r="I277" s="4">
        <v>0</v>
      </c>
    </row>
    <row r="278" spans="1:9" x14ac:dyDescent="0.2">
      <c r="A278" s="2">
        <v>9</v>
      </c>
      <c r="B278" s="1" t="s">
        <v>116</v>
      </c>
      <c r="C278" s="4">
        <v>107</v>
      </c>
      <c r="D278" s="8">
        <v>3.61</v>
      </c>
      <c r="E278" s="4">
        <v>92</v>
      </c>
      <c r="F278" s="8">
        <v>5.95</v>
      </c>
      <c r="G278" s="4">
        <v>15</v>
      </c>
      <c r="H278" s="8">
        <v>1.06</v>
      </c>
      <c r="I278" s="4">
        <v>0</v>
      </c>
    </row>
    <row r="279" spans="1:9" x14ac:dyDescent="0.2">
      <c r="A279" s="2">
        <v>10</v>
      </c>
      <c r="B279" s="1" t="s">
        <v>104</v>
      </c>
      <c r="C279" s="4">
        <v>78</v>
      </c>
      <c r="D279" s="8">
        <v>2.63</v>
      </c>
      <c r="E279" s="4">
        <v>17</v>
      </c>
      <c r="F279" s="8">
        <v>1.1000000000000001</v>
      </c>
      <c r="G279" s="4">
        <v>61</v>
      </c>
      <c r="H279" s="8">
        <v>4.3099999999999996</v>
      </c>
      <c r="I279" s="4">
        <v>0</v>
      </c>
    </row>
    <row r="280" spans="1:9" x14ac:dyDescent="0.2">
      <c r="A280" s="2">
        <v>11</v>
      </c>
      <c r="B280" s="1" t="s">
        <v>111</v>
      </c>
      <c r="C280" s="4">
        <v>76</v>
      </c>
      <c r="D280" s="8">
        <v>2.56</v>
      </c>
      <c r="E280" s="4">
        <v>44</v>
      </c>
      <c r="F280" s="8">
        <v>2.85</v>
      </c>
      <c r="G280" s="4">
        <v>32</v>
      </c>
      <c r="H280" s="8">
        <v>2.2599999999999998</v>
      </c>
      <c r="I280" s="4">
        <v>0</v>
      </c>
    </row>
    <row r="281" spans="1:9" x14ac:dyDescent="0.2">
      <c r="A281" s="2">
        <v>12</v>
      </c>
      <c r="B281" s="1" t="s">
        <v>98</v>
      </c>
      <c r="C281" s="4">
        <v>75</v>
      </c>
      <c r="D281" s="8">
        <v>2.5299999999999998</v>
      </c>
      <c r="E281" s="4">
        <v>16</v>
      </c>
      <c r="F281" s="8">
        <v>1.03</v>
      </c>
      <c r="G281" s="4">
        <v>59</v>
      </c>
      <c r="H281" s="8">
        <v>4.17</v>
      </c>
      <c r="I281" s="4">
        <v>0</v>
      </c>
    </row>
    <row r="282" spans="1:9" x14ac:dyDescent="0.2">
      <c r="A282" s="2">
        <v>13</v>
      </c>
      <c r="B282" s="1" t="s">
        <v>127</v>
      </c>
      <c r="C282" s="4">
        <v>73</v>
      </c>
      <c r="D282" s="8">
        <v>2.46</v>
      </c>
      <c r="E282" s="4">
        <v>18</v>
      </c>
      <c r="F282" s="8">
        <v>1.1599999999999999</v>
      </c>
      <c r="G282" s="4">
        <v>55</v>
      </c>
      <c r="H282" s="8">
        <v>3.89</v>
      </c>
      <c r="I282" s="4">
        <v>0</v>
      </c>
    </row>
    <row r="283" spans="1:9" x14ac:dyDescent="0.2">
      <c r="A283" s="2">
        <v>14</v>
      </c>
      <c r="B283" s="1" t="s">
        <v>120</v>
      </c>
      <c r="C283" s="4">
        <v>59</v>
      </c>
      <c r="D283" s="8">
        <v>1.99</v>
      </c>
      <c r="E283" s="4">
        <v>34</v>
      </c>
      <c r="F283" s="8">
        <v>2.2000000000000002</v>
      </c>
      <c r="G283" s="4">
        <v>25</v>
      </c>
      <c r="H283" s="8">
        <v>1.77</v>
      </c>
      <c r="I283" s="4">
        <v>0</v>
      </c>
    </row>
    <row r="284" spans="1:9" x14ac:dyDescent="0.2">
      <c r="A284" s="2">
        <v>14</v>
      </c>
      <c r="B284" s="1" t="s">
        <v>102</v>
      </c>
      <c r="C284" s="4">
        <v>59</v>
      </c>
      <c r="D284" s="8">
        <v>1.99</v>
      </c>
      <c r="E284" s="4">
        <v>21</v>
      </c>
      <c r="F284" s="8">
        <v>1.36</v>
      </c>
      <c r="G284" s="4">
        <v>38</v>
      </c>
      <c r="H284" s="8">
        <v>2.69</v>
      </c>
      <c r="I284" s="4">
        <v>0</v>
      </c>
    </row>
    <row r="285" spans="1:9" x14ac:dyDescent="0.2">
      <c r="A285" s="2">
        <v>14</v>
      </c>
      <c r="B285" s="1" t="s">
        <v>103</v>
      </c>
      <c r="C285" s="4">
        <v>59</v>
      </c>
      <c r="D285" s="8">
        <v>1.99</v>
      </c>
      <c r="E285" s="4">
        <v>12</v>
      </c>
      <c r="F285" s="8">
        <v>0.78</v>
      </c>
      <c r="G285" s="4">
        <v>47</v>
      </c>
      <c r="H285" s="8">
        <v>3.32</v>
      </c>
      <c r="I285" s="4">
        <v>0</v>
      </c>
    </row>
    <row r="286" spans="1:9" x14ac:dyDescent="0.2">
      <c r="A286" s="2">
        <v>14</v>
      </c>
      <c r="B286" s="1" t="s">
        <v>107</v>
      </c>
      <c r="C286" s="4">
        <v>59</v>
      </c>
      <c r="D286" s="8">
        <v>1.99</v>
      </c>
      <c r="E286" s="4">
        <v>33</v>
      </c>
      <c r="F286" s="8">
        <v>2.13</v>
      </c>
      <c r="G286" s="4">
        <v>26</v>
      </c>
      <c r="H286" s="8">
        <v>1.84</v>
      </c>
      <c r="I286" s="4">
        <v>0</v>
      </c>
    </row>
    <row r="287" spans="1:9" x14ac:dyDescent="0.2">
      <c r="A287" s="2">
        <v>18</v>
      </c>
      <c r="B287" s="1" t="s">
        <v>100</v>
      </c>
      <c r="C287" s="4">
        <v>57</v>
      </c>
      <c r="D287" s="8">
        <v>1.92</v>
      </c>
      <c r="E287" s="4">
        <v>12</v>
      </c>
      <c r="F287" s="8">
        <v>0.78</v>
      </c>
      <c r="G287" s="4">
        <v>45</v>
      </c>
      <c r="H287" s="8">
        <v>3.18</v>
      </c>
      <c r="I287" s="4">
        <v>0</v>
      </c>
    </row>
    <row r="288" spans="1:9" x14ac:dyDescent="0.2">
      <c r="A288" s="2">
        <v>19</v>
      </c>
      <c r="B288" s="1" t="s">
        <v>99</v>
      </c>
      <c r="C288" s="4">
        <v>52</v>
      </c>
      <c r="D288" s="8">
        <v>1.75</v>
      </c>
      <c r="E288" s="4">
        <v>13</v>
      </c>
      <c r="F288" s="8">
        <v>0.84</v>
      </c>
      <c r="G288" s="4">
        <v>39</v>
      </c>
      <c r="H288" s="8">
        <v>2.76</v>
      </c>
      <c r="I288" s="4">
        <v>0</v>
      </c>
    </row>
    <row r="289" spans="1:9" x14ac:dyDescent="0.2">
      <c r="A289" s="2">
        <v>20</v>
      </c>
      <c r="B289" s="1" t="s">
        <v>131</v>
      </c>
      <c r="C289" s="4">
        <v>51</v>
      </c>
      <c r="D289" s="8">
        <v>1.72</v>
      </c>
      <c r="E289" s="4">
        <v>19</v>
      </c>
      <c r="F289" s="8">
        <v>1.23</v>
      </c>
      <c r="G289" s="4">
        <v>32</v>
      </c>
      <c r="H289" s="8">
        <v>2.2599999999999998</v>
      </c>
      <c r="I289" s="4">
        <v>0</v>
      </c>
    </row>
    <row r="290" spans="1:9" x14ac:dyDescent="0.2">
      <c r="A290" s="1"/>
      <c r="C290" s="4"/>
      <c r="D290" s="8"/>
      <c r="E290" s="4"/>
      <c r="F290" s="8"/>
      <c r="G290" s="4"/>
      <c r="H290" s="8"/>
      <c r="I290" s="4"/>
    </row>
    <row r="291" spans="1:9" x14ac:dyDescent="0.2">
      <c r="A291" s="1" t="s">
        <v>13</v>
      </c>
      <c r="C291" s="4"/>
      <c r="D291" s="8"/>
      <c r="E291" s="4"/>
      <c r="F291" s="8"/>
      <c r="G291" s="4"/>
      <c r="H291" s="8"/>
      <c r="I291" s="4"/>
    </row>
    <row r="292" spans="1:9" x14ac:dyDescent="0.2">
      <c r="A292" s="2">
        <v>1</v>
      </c>
      <c r="B292" s="1" t="s">
        <v>113</v>
      </c>
      <c r="C292" s="4">
        <v>488</v>
      </c>
      <c r="D292" s="8">
        <v>10.57</v>
      </c>
      <c r="E292" s="4">
        <v>448</v>
      </c>
      <c r="F292" s="8">
        <v>15.91</v>
      </c>
      <c r="G292" s="4">
        <v>40</v>
      </c>
      <c r="H292" s="8">
        <v>2.2400000000000002</v>
      </c>
      <c r="I292" s="4">
        <v>0</v>
      </c>
    </row>
    <row r="293" spans="1:9" x14ac:dyDescent="0.2">
      <c r="A293" s="2">
        <v>2</v>
      </c>
      <c r="B293" s="1" t="s">
        <v>110</v>
      </c>
      <c r="C293" s="4">
        <v>467</v>
      </c>
      <c r="D293" s="8">
        <v>10.11</v>
      </c>
      <c r="E293" s="4">
        <v>213</v>
      </c>
      <c r="F293" s="8">
        <v>7.57</v>
      </c>
      <c r="G293" s="4">
        <v>253</v>
      </c>
      <c r="H293" s="8">
        <v>14.14</v>
      </c>
      <c r="I293" s="4">
        <v>1</v>
      </c>
    </row>
    <row r="294" spans="1:9" x14ac:dyDescent="0.2">
      <c r="A294" s="2">
        <v>3</v>
      </c>
      <c r="B294" s="1" t="s">
        <v>101</v>
      </c>
      <c r="C294" s="4">
        <v>342</v>
      </c>
      <c r="D294" s="8">
        <v>7.41</v>
      </c>
      <c r="E294" s="4">
        <v>198</v>
      </c>
      <c r="F294" s="8">
        <v>7.03</v>
      </c>
      <c r="G294" s="4">
        <v>144</v>
      </c>
      <c r="H294" s="8">
        <v>8.0500000000000007</v>
      </c>
      <c r="I294" s="4">
        <v>0</v>
      </c>
    </row>
    <row r="295" spans="1:9" x14ac:dyDescent="0.2">
      <c r="A295" s="2">
        <v>4</v>
      </c>
      <c r="B295" s="1" t="s">
        <v>114</v>
      </c>
      <c r="C295" s="4">
        <v>291</v>
      </c>
      <c r="D295" s="8">
        <v>6.3</v>
      </c>
      <c r="E295" s="4">
        <v>259</v>
      </c>
      <c r="F295" s="8">
        <v>9.1999999999999993</v>
      </c>
      <c r="G295" s="4">
        <v>32</v>
      </c>
      <c r="H295" s="8">
        <v>1.79</v>
      </c>
      <c r="I295" s="4">
        <v>0</v>
      </c>
    </row>
    <row r="296" spans="1:9" x14ac:dyDescent="0.2">
      <c r="A296" s="2">
        <v>5</v>
      </c>
      <c r="B296" s="1" t="s">
        <v>108</v>
      </c>
      <c r="C296" s="4">
        <v>252</v>
      </c>
      <c r="D296" s="8">
        <v>5.46</v>
      </c>
      <c r="E296" s="4">
        <v>194</v>
      </c>
      <c r="F296" s="8">
        <v>6.89</v>
      </c>
      <c r="G296" s="4">
        <v>58</v>
      </c>
      <c r="H296" s="8">
        <v>3.24</v>
      </c>
      <c r="I296" s="4">
        <v>0</v>
      </c>
    </row>
    <row r="297" spans="1:9" x14ac:dyDescent="0.2">
      <c r="A297" s="2">
        <v>6</v>
      </c>
      <c r="B297" s="1" t="s">
        <v>106</v>
      </c>
      <c r="C297" s="4">
        <v>246</v>
      </c>
      <c r="D297" s="8">
        <v>5.33</v>
      </c>
      <c r="E297" s="4">
        <v>204</v>
      </c>
      <c r="F297" s="8">
        <v>7.25</v>
      </c>
      <c r="G297" s="4">
        <v>42</v>
      </c>
      <c r="H297" s="8">
        <v>2.35</v>
      </c>
      <c r="I297" s="4">
        <v>0</v>
      </c>
    </row>
    <row r="298" spans="1:9" x14ac:dyDescent="0.2">
      <c r="A298" s="2">
        <v>7</v>
      </c>
      <c r="B298" s="1" t="s">
        <v>116</v>
      </c>
      <c r="C298" s="4">
        <v>157</v>
      </c>
      <c r="D298" s="8">
        <v>3.4</v>
      </c>
      <c r="E298" s="4">
        <v>139</v>
      </c>
      <c r="F298" s="8">
        <v>4.9400000000000004</v>
      </c>
      <c r="G298" s="4">
        <v>18</v>
      </c>
      <c r="H298" s="8">
        <v>1.01</v>
      </c>
      <c r="I298" s="4">
        <v>0</v>
      </c>
    </row>
    <row r="299" spans="1:9" x14ac:dyDescent="0.2">
      <c r="A299" s="2">
        <v>8</v>
      </c>
      <c r="B299" s="1" t="s">
        <v>132</v>
      </c>
      <c r="C299" s="4">
        <v>119</v>
      </c>
      <c r="D299" s="8">
        <v>2.58</v>
      </c>
      <c r="E299" s="4">
        <v>70</v>
      </c>
      <c r="F299" s="8">
        <v>2.4900000000000002</v>
      </c>
      <c r="G299" s="4">
        <v>49</v>
      </c>
      <c r="H299" s="8">
        <v>2.74</v>
      </c>
      <c r="I299" s="4">
        <v>0</v>
      </c>
    </row>
    <row r="300" spans="1:9" x14ac:dyDescent="0.2">
      <c r="A300" s="2">
        <v>9</v>
      </c>
      <c r="B300" s="1" t="s">
        <v>121</v>
      </c>
      <c r="C300" s="4">
        <v>112</v>
      </c>
      <c r="D300" s="8">
        <v>2.4300000000000002</v>
      </c>
      <c r="E300" s="4">
        <v>53</v>
      </c>
      <c r="F300" s="8">
        <v>1.88</v>
      </c>
      <c r="G300" s="4">
        <v>59</v>
      </c>
      <c r="H300" s="8">
        <v>3.3</v>
      </c>
      <c r="I300" s="4">
        <v>0</v>
      </c>
    </row>
    <row r="301" spans="1:9" x14ac:dyDescent="0.2">
      <c r="A301" s="2">
        <v>10</v>
      </c>
      <c r="B301" s="1" t="s">
        <v>98</v>
      </c>
      <c r="C301" s="4">
        <v>107</v>
      </c>
      <c r="D301" s="8">
        <v>2.3199999999999998</v>
      </c>
      <c r="E301" s="4">
        <v>28</v>
      </c>
      <c r="F301" s="8">
        <v>0.99</v>
      </c>
      <c r="G301" s="4">
        <v>79</v>
      </c>
      <c r="H301" s="8">
        <v>4.42</v>
      </c>
      <c r="I301" s="4">
        <v>0</v>
      </c>
    </row>
    <row r="302" spans="1:9" x14ac:dyDescent="0.2">
      <c r="A302" s="2">
        <v>11</v>
      </c>
      <c r="B302" s="1" t="s">
        <v>105</v>
      </c>
      <c r="C302" s="4">
        <v>104</v>
      </c>
      <c r="D302" s="8">
        <v>2.25</v>
      </c>
      <c r="E302" s="4">
        <v>85</v>
      </c>
      <c r="F302" s="8">
        <v>3.02</v>
      </c>
      <c r="G302" s="4">
        <v>19</v>
      </c>
      <c r="H302" s="8">
        <v>1.06</v>
      </c>
      <c r="I302" s="4">
        <v>0</v>
      </c>
    </row>
    <row r="303" spans="1:9" x14ac:dyDescent="0.2">
      <c r="A303" s="2">
        <v>12</v>
      </c>
      <c r="B303" s="1" t="s">
        <v>133</v>
      </c>
      <c r="C303" s="4">
        <v>98</v>
      </c>
      <c r="D303" s="8">
        <v>2.12</v>
      </c>
      <c r="E303" s="4">
        <v>69</v>
      </c>
      <c r="F303" s="8">
        <v>2.4500000000000002</v>
      </c>
      <c r="G303" s="4">
        <v>29</v>
      </c>
      <c r="H303" s="8">
        <v>1.62</v>
      </c>
      <c r="I303" s="4">
        <v>0</v>
      </c>
    </row>
    <row r="304" spans="1:9" x14ac:dyDescent="0.2">
      <c r="A304" s="2">
        <v>13</v>
      </c>
      <c r="B304" s="1" t="s">
        <v>127</v>
      </c>
      <c r="C304" s="4">
        <v>96</v>
      </c>
      <c r="D304" s="8">
        <v>2.08</v>
      </c>
      <c r="E304" s="4">
        <v>43</v>
      </c>
      <c r="F304" s="8">
        <v>1.53</v>
      </c>
      <c r="G304" s="4">
        <v>53</v>
      </c>
      <c r="H304" s="8">
        <v>2.96</v>
      </c>
      <c r="I304" s="4">
        <v>0</v>
      </c>
    </row>
    <row r="305" spans="1:9" x14ac:dyDescent="0.2">
      <c r="A305" s="2">
        <v>14</v>
      </c>
      <c r="B305" s="1" t="s">
        <v>104</v>
      </c>
      <c r="C305" s="4">
        <v>95</v>
      </c>
      <c r="D305" s="8">
        <v>2.06</v>
      </c>
      <c r="E305" s="4">
        <v>34</v>
      </c>
      <c r="F305" s="8">
        <v>1.21</v>
      </c>
      <c r="G305" s="4">
        <v>61</v>
      </c>
      <c r="H305" s="8">
        <v>3.41</v>
      </c>
      <c r="I305" s="4">
        <v>0</v>
      </c>
    </row>
    <row r="306" spans="1:9" x14ac:dyDescent="0.2">
      <c r="A306" s="2">
        <v>15</v>
      </c>
      <c r="B306" s="1" t="s">
        <v>100</v>
      </c>
      <c r="C306" s="4">
        <v>94</v>
      </c>
      <c r="D306" s="8">
        <v>2.04</v>
      </c>
      <c r="E306" s="4">
        <v>25</v>
      </c>
      <c r="F306" s="8">
        <v>0.89</v>
      </c>
      <c r="G306" s="4">
        <v>69</v>
      </c>
      <c r="H306" s="8">
        <v>3.86</v>
      </c>
      <c r="I306" s="4">
        <v>0</v>
      </c>
    </row>
    <row r="307" spans="1:9" x14ac:dyDescent="0.2">
      <c r="A307" s="2">
        <v>16</v>
      </c>
      <c r="B307" s="1" t="s">
        <v>107</v>
      </c>
      <c r="C307" s="4">
        <v>91</v>
      </c>
      <c r="D307" s="8">
        <v>1.97</v>
      </c>
      <c r="E307" s="4">
        <v>65</v>
      </c>
      <c r="F307" s="8">
        <v>2.31</v>
      </c>
      <c r="G307" s="4">
        <v>26</v>
      </c>
      <c r="H307" s="8">
        <v>1.45</v>
      </c>
      <c r="I307" s="4">
        <v>0</v>
      </c>
    </row>
    <row r="308" spans="1:9" x14ac:dyDescent="0.2">
      <c r="A308" s="2">
        <v>17</v>
      </c>
      <c r="B308" s="1" t="s">
        <v>134</v>
      </c>
      <c r="C308" s="4">
        <v>89</v>
      </c>
      <c r="D308" s="8">
        <v>1.93</v>
      </c>
      <c r="E308" s="4">
        <v>45</v>
      </c>
      <c r="F308" s="8">
        <v>1.6</v>
      </c>
      <c r="G308" s="4">
        <v>44</v>
      </c>
      <c r="H308" s="8">
        <v>2.46</v>
      </c>
      <c r="I308" s="4">
        <v>0</v>
      </c>
    </row>
    <row r="309" spans="1:9" x14ac:dyDescent="0.2">
      <c r="A309" s="2">
        <v>18</v>
      </c>
      <c r="B309" s="1" t="s">
        <v>99</v>
      </c>
      <c r="C309" s="4">
        <v>88</v>
      </c>
      <c r="D309" s="8">
        <v>1.91</v>
      </c>
      <c r="E309" s="4">
        <v>35</v>
      </c>
      <c r="F309" s="8">
        <v>1.24</v>
      </c>
      <c r="G309" s="4">
        <v>53</v>
      </c>
      <c r="H309" s="8">
        <v>2.96</v>
      </c>
      <c r="I309" s="4">
        <v>0</v>
      </c>
    </row>
    <row r="310" spans="1:9" x14ac:dyDescent="0.2">
      <c r="A310" s="2">
        <v>19</v>
      </c>
      <c r="B310" s="1" t="s">
        <v>120</v>
      </c>
      <c r="C310" s="4">
        <v>83</v>
      </c>
      <c r="D310" s="8">
        <v>1.8</v>
      </c>
      <c r="E310" s="4">
        <v>62</v>
      </c>
      <c r="F310" s="8">
        <v>2.2000000000000002</v>
      </c>
      <c r="G310" s="4">
        <v>21</v>
      </c>
      <c r="H310" s="8">
        <v>1.17</v>
      </c>
      <c r="I310" s="4">
        <v>0</v>
      </c>
    </row>
    <row r="311" spans="1:9" x14ac:dyDescent="0.2">
      <c r="A311" s="2">
        <v>20</v>
      </c>
      <c r="B311" s="1" t="s">
        <v>117</v>
      </c>
      <c r="C311" s="4">
        <v>82</v>
      </c>
      <c r="D311" s="8">
        <v>1.78</v>
      </c>
      <c r="E311" s="4">
        <v>0</v>
      </c>
      <c r="F311" s="8">
        <v>0</v>
      </c>
      <c r="G311" s="4">
        <v>74</v>
      </c>
      <c r="H311" s="8">
        <v>4.1399999999999997</v>
      </c>
      <c r="I311" s="4">
        <v>8</v>
      </c>
    </row>
    <row r="312" spans="1:9" x14ac:dyDescent="0.2">
      <c r="A312" s="1"/>
      <c r="C312" s="4"/>
      <c r="D312" s="8"/>
      <c r="E312" s="4"/>
      <c r="F312" s="8"/>
      <c r="G312" s="4"/>
      <c r="H312" s="8"/>
      <c r="I312" s="4"/>
    </row>
    <row r="313" spans="1:9" x14ac:dyDescent="0.2">
      <c r="A313" s="1" t="s">
        <v>14</v>
      </c>
      <c r="C313" s="4"/>
      <c r="D313" s="8"/>
      <c r="E313" s="4"/>
      <c r="F313" s="8"/>
      <c r="G313" s="4"/>
      <c r="H313" s="8"/>
      <c r="I313" s="4"/>
    </row>
    <row r="314" spans="1:9" x14ac:dyDescent="0.2">
      <c r="A314" s="2">
        <v>1</v>
      </c>
      <c r="B314" s="1" t="s">
        <v>113</v>
      </c>
      <c r="C314" s="4">
        <v>260</v>
      </c>
      <c r="D314" s="8">
        <v>12.43</v>
      </c>
      <c r="E314" s="4">
        <v>244</v>
      </c>
      <c r="F314" s="8">
        <v>19.920000000000002</v>
      </c>
      <c r="G314" s="4">
        <v>16</v>
      </c>
      <c r="H314" s="8">
        <v>1.85</v>
      </c>
      <c r="I314" s="4">
        <v>0</v>
      </c>
    </row>
    <row r="315" spans="1:9" x14ac:dyDescent="0.2">
      <c r="A315" s="2">
        <v>2</v>
      </c>
      <c r="B315" s="1" t="s">
        <v>110</v>
      </c>
      <c r="C315" s="4">
        <v>251</v>
      </c>
      <c r="D315" s="8">
        <v>12</v>
      </c>
      <c r="E315" s="4">
        <v>141</v>
      </c>
      <c r="F315" s="8">
        <v>11.51</v>
      </c>
      <c r="G315" s="4">
        <v>110</v>
      </c>
      <c r="H315" s="8">
        <v>12.72</v>
      </c>
      <c r="I315" s="4">
        <v>0</v>
      </c>
    </row>
    <row r="316" spans="1:9" x14ac:dyDescent="0.2">
      <c r="A316" s="2">
        <v>3</v>
      </c>
      <c r="B316" s="1" t="s">
        <v>114</v>
      </c>
      <c r="C316" s="4">
        <v>173</v>
      </c>
      <c r="D316" s="8">
        <v>8.27</v>
      </c>
      <c r="E316" s="4">
        <v>154</v>
      </c>
      <c r="F316" s="8">
        <v>12.57</v>
      </c>
      <c r="G316" s="4">
        <v>19</v>
      </c>
      <c r="H316" s="8">
        <v>2.2000000000000002</v>
      </c>
      <c r="I316" s="4">
        <v>0</v>
      </c>
    </row>
    <row r="317" spans="1:9" x14ac:dyDescent="0.2">
      <c r="A317" s="2">
        <v>4</v>
      </c>
      <c r="B317" s="1" t="s">
        <v>108</v>
      </c>
      <c r="C317" s="4">
        <v>142</v>
      </c>
      <c r="D317" s="8">
        <v>6.79</v>
      </c>
      <c r="E317" s="4">
        <v>103</v>
      </c>
      <c r="F317" s="8">
        <v>8.41</v>
      </c>
      <c r="G317" s="4">
        <v>39</v>
      </c>
      <c r="H317" s="8">
        <v>4.51</v>
      </c>
      <c r="I317" s="4">
        <v>0</v>
      </c>
    </row>
    <row r="318" spans="1:9" x14ac:dyDescent="0.2">
      <c r="A318" s="2">
        <v>5</v>
      </c>
      <c r="B318" s="1" t="s">
        <v>106</v>
      </c>
      <c r="C318" s="4">
        <v>120</v>
      </c>
      <c r="D318" s="8">
        <v>5.74</v>
      </c>
      <c r="E318" s="4">
        <v>95</v>
      </c>
      <c r="F318" s="8">
        <v>7.76</v>
      </c>
      <c r="G318" s="4">
        <v>25</v>
      </c>
      <c r="H318" s="8">
        <v>2.89</v>
      </c>
      <c r="I318" s="4">
        <v>0</v>
      </c>
    </row>
    <row r="319" spans="1:9" x14ac:dyDescent="0.2">
      <c r="A319" s="2">
        <v>6</v>
      </c>
      <c r="B319" s="1" t="s">
        <v>116</v>
      </c>
      <c r="C319" s="4">
        <v>107</v>
      </c>
      <c r="D319" s="8">
        <v>5.1100000000000003</v>
      </c>
      <c r="E319" s="4">
        <v>98</v>
      </c>
      <c r="F319" s="8">
        <v>8</v>
      </c>
      <c r="G319" s="4">
        <v>9</v>
      </c>
      <c r="H319" s="8">
        <v>1.04</v>
      </c>
      <c r="I319" s="4">
        <v>0</v>
      </c>
    </row>
    <row r="320" spans="1:9" x14ac:dyDescent="0.2">
      <c r="A320" s="2">
        <v>7</v>
      </c>
      <c r="B320" s="1" t="s">
        <v>98</v>
      </c>
      <c r="C320" s="4">
        <v>74</v>
      </c>
      <c r="D320" s="8">
        <v>3.54</v>
      </c>
      <c r="E320" s="4">
        <v>17</v>
      </c>
      <c r="F320" s="8">
        <v>1.39</v>
      </c>
      <c r="G320" s="4">
        <v>57</v>
      </c>
      <c r="H320" s="8">
        <v>6.59</v>
      </c>
      <c r="I320" s="4">
        <v>0</v>
      </c>
    </row>
    <row r="321" spans="1:9" x14ac:dyDescent="0.2">
      <c r="A321" s="2">
        <v>8</v>
      </c>
      <c r="B321" s="1" t="s">
        <v>100</v>
      </c>
      <c r="C321" s="4">
        <v>71</v>
      </c>
      <c r="D321" s="8">
        <v>3.39</v>
      </c>
      <c r="E321" s="4">
        <v>11</v>
      </c>
      <c r="F321" s="8">
        <v>0.9</v>
      </c>
      <c r="G321" s="4">
        <v>60</v>
      </c>
      <c r="H321" s="8">
        <v>6.94</v>
      </c>
      <c r="I321" s="4">
        <v>0</v>
      </c>
    </row>
    <row r="322" spans="1:9" x14ac:dyDescent="0.2">
      <c r="A322" s="2">
        <v>9</v>
      </c>
      <c r="B322" s="1" t="s">
        <v>105</v>
      </c>
      <c r="C322" s="4">
        <v>69</v>
      </c>
      <c r="D322" s="8">
        <v>3.3</v>
      </c>
      <c r="E322" s="4">
        <v>36</v>
      </c>
      <c r="F322" s="8">
        <v>2.94</v>
      </c>
      <c r="G322" s="4">
        <v>33</v>
      </c>
      <c r="H322" s="8">
        <v>3.82</v>
      </c>
      <c r="I322" s="4">
        <v>0</v>
      </c>
    </row>
    <row r="323" spans="1:9" x14ac:dyDescent="0.2">
      <c r="A323" s="2">
        <v>10</v>
      </c>
      <c r="B323" s="1" t="s">
        <v>99</v>
      </c>
      <c r="C323" s="4">
        <v>63</v>
      </c>
      <c r="D323" s="8">
        <v>3.01</v>
      </c>
      <c r="E323" s="4">
        <v>15</v>
      </c>
      <c r="F323" s="8">
        <v>1.22</v>
      </c>
      <c r="G323" s="4">
        <v>48</v>
      </c>
      <c r="H323" s="8">
        <v>5.55</v>
      </c>
      <c r="I323" s="4">
        <v>0</v>
      </c>
    </row>
    <row r="324" spans="1:9" x14ac:dyDescent="0.2">
      <c r="A324" s="2">
        <v>11</v>
      </c>
      <c r="B324" s="1" t="s">
        <v>115</v>
      </c>
      <c r="C324" s="4">
        <v>48</v>
      </c>
      <c r="D324" s="8">
        <v>2.29</v>
      </c>
      <c r="E324" s="4">
        <v>39</v>
      </c>
      <c r="F324" s="8">
        <v>3.18</v>
      </c>
      <c r="G324" s="4">
        <v>8</v>
      </c>
      <c r="H324" s="8">
        <v>0.92</v>
      </c>
      <c r="I324" s="4">
        <v>0</v>
      </c>
    </row>
    <row r="325" spans="1:9" x14ac:dyDescent="0.2">
      <c r="A325" s="2">
        <v>12</v>
      </c>
      <c r="B325" s="1" t="s">
        <v>107</v>
      </c>
      <c r="C325" s="4">
        <v>46</v>
      </c>
      <c r="D325" s="8">
        <v>2.2000000000000002</v>
      </c>
      <c r="E325" s="4">
        <v>26</v>
      </c>
      <c r="F325" s="8">
        <v>2.12</v>
      </c>
      <c r="G325" s="4">
        <v>20</v>
      </c>
      <c r="H325" s="8">
        <v>2.31</v>
      </c>
      <c r="I325" s="4">
        <v>0</v>
      </c>
    </row>
    <row r="326" spans="1:9" x14ac:dyDescent="0.2">
      <c r="A326" s="2">
        <v>13</v>
      </c>
      <c r="B326" s="1" t="s">
        <v>120</v>
      </c>
      <c r="C326" s="4">
        <v>45</v>
      </c>
      <c r="D326" s="8">
        <v>2.15</v>
      </c>
      <c r="E326" s="4">
        <v>25</v>
      </c>
      <c r="F326" s="8">
        <v>2.04</v>
      </c>
      <c r="G326" s="4">
        <v>20</v>
      </c>
      <c r="H326" s="8">
        <v>2.31</v>
      </c>
      <c r="I326" s="4">
        <v>0</v>
      </c>
    </row>
    <row r="327" spans="1:9" x14ac:dyDescent="0.2">
      <c r="A327" s="2">
        <v>13</v>
      </c>
      <c r="B327" s="1" t="s">
        <v>111</v>
      </c>
      <c r="C327" s="4">
        <v>45</v>
      </c>
      <c r="D327" s="8">
        <v>2.15</v>
      </c>
      <c r="E327" s="4">
        <v>33</v>
      </c>
      <c r="F327" s="8">
        <v>2.69</v>
      </c>
      <c r="G327" s="4">
        <v>12</v>
      </c>
      <c r="H327" s="8">
        <v>1.39</v>
      </c>
      <c r="I327" s="4">
        <v>0</v>
      </c>
    </row>
    <row r="328" spans="1:9" x14ac:dyDescent="0.2">
      <c r="A328" s="2">
        <v>15</v>
      </c>
      <c r="B328" s="1" t="s">
        <v>109</v>
      </c>
      <c r="C328" s="4">
        <v>38</v>
      </c>
      <c r="D328" s="8">
        <v>1.82</v>
      </c>
      <c r="E328" s="4">
        <v>8</v>
      </c>
      <c r="F328" s="8">
        <v>0.65</v>
      </c>
      <c r="G328" s="4">
        <v>30</v>
      </c>
      <c r="H328" s="8">
        <v>3.47</v>
      </c>
      <c r="I328" s="4">
        <v>0</v>
      </c>
    </row>
    <row r="329" spans="1:9" x14ac:dyDescent="0.2">
      <c r="A329" s="2">
        <v>16</v>
      </c>
      <c r="B329" s="1" t="s">
        <v>104</v>
      </c>
      <c r="C329" s="4">
        <v>32</v>
      </c>
      <c r="D329" s="8">
        <v>1.53</v>
      </c>
      <c r="E329" s="4">
        <v>10</v>
      </c>
      <c r="F329" s="8">
        <v>0.82</v>
      </c>
      <c r="G329" s="4">
        <v>22</v>
      </c>
      <c r="H329" s="8">
        <v>2.54</v>
      </c>
      <c r="I329" s="4">
        <v>0</v>
      </c>
    </row>
    <row r="330" spans="1:9" x14ac:dyDescent="0.2">
      <c r="A330" s="2">
        <v>17</v>
      </c>
      <c r="B330" s="1" t="s">
        <v>112</v>
      </c>
      <c r="C330" s="4">
        <v>31</v>
      </c>
      <c r="D330" s="8">
        <v>1.48</v>
      </c>
      <c r="E330" s="4">
        <v>14</v>
      </c>
      <c r="F330" s="8">
        <v>1.1399999999999999</v>
      </c>
      <c r="G330" s="4">
        <v>17</v>
      </c>
      <c r="H330" s="8">
        <v>1.97</v>
      </c>
      <c r="I330" s="4">
        <v>0</v>
      </c>
    </row>
    <row r="331" spans="1:9" x14ac:dyDescent="0.2">
      <c r="A331" s="2">
        <v>18</v>
      </c>
      <c r="B331" s="1" t="s">
        <v>117</v>
      </c>
      <c r="C331" s="4">
        <v>30</v>
      </c>
      <c r="D331" s="8">
        <v>1.43</v>
      </c>
      <c r="E331" s="4">
        <v>2</v>
      </c>
      <c r="F331" s="8">
        <v>0.16</v>
      </c>
      <c r="G331" s="4">
        <v>28</v>
      </c>
      <c r="H331" s="8">
        <v>3.24</v>
      </c>
      <c r="I331" s="4">
        <v>0</v>
      </c>
    </row>
    <row r="332" spans="1:9" x14ac:dyDescent="0.2">
      <c r="A332" s="2">
        <v>19</v>
      </c>
      <c r="B332" s="1" t="s">
        <v>103</v>
      </c>
      <c r="C332" s="4">
        <v>29</v>
      </c>
      <c r="D332" s="8">
        <v>1.39</v>
      </c>
      <c r="E332" s="4">
        <v>6</v>
      </c>
      <c r="F332" s="8">
        <v>0.49</v>
      </c>
      <c r="G332" s="4">
        <v>23</v>
      </c>
      <c r="H332" s="8">
        <v>2.66</v>
      </c>
      <c r="I332" s="4">
        <v>0</v>
      </c>
    </row>
    <row r="333" spans="1:9" x14ac:dyDescent="0.2">
      <c r="A333" s="2">
        <v>19</v>
      </c>
      <c r="B333" s="1" t="s">
        <v>130</v>
      </c>
      <c r="C333" s="4">
        <v>29</v>
      </c>
      <c r="D333" s="8">
        <v>1.39</v>
      </c>
      <c r="E333" s="4">
        <v>16</v>
      </c>
      <c r="F333" s="8">
        <v>1.31</v>
      </c>
      <c r="G333" s="4">
        <v>13</v>
      </c>
      <c r="H333" s="8">
        <v>1.5</v>
      </c>
      <c r="I333" s="4">
        <v>0</v>
      </c>
    </row>
    <row r="334" spans="1:9" x14ac:dyDescent="0.2">
      <c r="A334" s="1"/>
      <c r="C334" s="4"/>
      <c r="D334" s="8"/>
      <c r="E334" s="4"/>
      <c r="F334" s="8"/>
      <c r="G334" s="4"/>
      <c r="H334" s="8"/>
      <c r="I334" s="4"/>
    </row>
    <row r="335" spans="1:9" x14ac:dyDescent="0.2">
      <c r="A335" s="1" t="s">
        <v>15</v>
      </c>
      <c r="C335" s="4"/>
      <c r="D335" s="8"/>
      <c r="E335" s="4"/>
      <c r="F335" s="8"/>
      <c r="G335" s="4"/>
      <c r="H335" s="8"/>
      <c r="I335" s="4"/>
    </row>
    <row r="336" spans="1:9" x14ac:dyDescent="0.2">
      <c r="A336" s="2">
        <v>1</v>
      </c>
      <c r="B336" s="1" t="s">
        <v>110</v>
      </c>
      <c r="C336" s="4">
        <v>414</v>
      </c>
      <c r="D336" s="8">
        <v>13.05</v>
      </c>
      <c r="E336" s="4">
        <v>193</v>
      </c>
      <c r="F336" s="8">
        <v>11.6</v>
      </c>
      <c r="G336" s="4">
        <v>221</v>
      </c>
      <c r="H336" s="8">
        <v>14.77</v>
      </c>
      <c r="I336" s="4">
        <v>0</v>
      </c>
    </row>
    <row r="337" spans="1:9" x14ac:dyDescent="0.2">
      <c r="A337" s="2">
        <v>2</v>
      </c>
      <c r="B337" s="1" t="s">
        <v>113</v>
      </c>
      <c r="C337" s="4">
        <v>358</v>
      </c>
      <c r="D337" s="8">
        <v>11.28</v>
      </c>
      <c r="E337" s="4">
        <v>331</v>
      </c>
      <c r="F337" s="8">
        <v>19.89</v>
      </c>
      <c r="G337" s="4">
        <v>27</v>
      </c>
      <c r="H337" s="8">
        <v>1.8</v>
      </c>
      <c r="I337" s="4">
        <v>0</v>
      </c>
    </row>
    <row r="338" spans="1:9" x14ac:dyDescent="0.2">
      <c r="A338" s="2">
        <v>3</v>
      </c>
      <c r="B338" s="1" t="s">
        <v>114</v>
      </c>
      <c r="C338" s="4">
        <v>276</v>
      </c>
      <c r="D338" s="8">
        <v>8.6999999999999993</v>
      </c>
      <c r="E338" s="4">
        <v>231</v>
      </c>
      <c r="F338" s="8">
        <v>13.88</v>
      </c>
      <c r="G338" s="4">
        <v>45</v>
      </c>
      <c r="H338" s="8">
        <v>3.01</v>
      </c>
      <c r="I338" s="4">
        <v>0</v>
      </c>
    </row>
    <row r="339" spans="1:9" x14ac:dyDescent="0.2">
      <c r="A339" s="2">
        <v>4</v>
      </c>
      <c r="B339" s="1" t="s">
        <v>108</v>
      </c>
      <c r="C339" s="4">
        <v>161</v>
      </c>
      <c r="D339" s="8">
        <v>5.07</v>
      </c>
      <c r="E339" s="4">
        <v>115</v>
      </c>
      <c r="F339" s="8">
        <v>6.91</v>
      </c>
      <c r="G339" s="4">
        <v>46</v>
      </c>
      <c r="H339" s="8">
        <v>3.07</v>
      </c>
      <c r="I339" s="4">
        <v>0</v>
      </c>
    </row>
    <row r="340" spans="1:9" x14ac:dyDescent="0.2">
      <c r="A340" s="2">
        <v>5</v>
      </c>
      <c r="B340" s="1" t="s">
        <v>116</v>
      </c>
      <c r="C340" s="4">
        <v>144</v>
      </c>
      <c r="D340" s="8">
        <v>4.54</v>
      </c>
      <c r="E340" s="4">
        <v>127</v>
      </c>
      <c r="F340" s="8">
        <v>7.63</v>
      </c>
      <c r="G340" s="4">
        <v>17</v>
      </c>
      <c r="H340" s="8">
        <v>1.1399999999999999</v>
      </c>
      <c r="I340" s="4">
        <v>0</v>
      </c>
    </row>
    <row r="341" spans="1:9" x14ac:dyDescent="0.2">
      <c r="A341" s="2">
        <v>6</v>
      </c>
      <c r="B341" s="1" t="s">
        <v>121</v>
      </c>
      <c r="C341" s="4">
        <v>122</v>
      </c>
      <c r="D341" s="8">
        <v>3.84</v>
      </c>
      <c r="E341" s="4">
        <v>41</v>
      </c>
      <c r="F341" s="8">
        <v>2.46</v>
      </c>
      <c r="G341" s="4">
        <v>81</v>
      </c>
      <c r="H341" s="8">
        <v>5.41</v>
      </c>
      <c r="I341" s="4">
        <v>0</v>
      </c>
    </row>
    <row r="342" spans="1:9" x14ac:dyDescent="0.2">
      <c r="A342" s="2">
        <v>7</v>
      </c>
      <c r="B342" s="1" t="s">
        <v>100</v>
      </c>
      <c r="C342" s="4">
        <v>110</v>
      </c>
      <c r="D342" s="8">
        <v>3.47</v>
      </c>
      <c r="E342" s="4">
        <v>14</v>
      </c>
      <c r="F342" s="8">
        <v>0.84</v>
      </c>
      <c r="G342" s="4">
        <v>96</v>
      </c>
      <c r="H342" s="8">
        <v>6.42</v>
      </c>
      <c r="I342" s="4">
        <v>0</v>
      </c>
    </row>
    <row r="343" spans="1:9" x14ac:dyDescent="0.2">
      <c r="A343" s="2">
        <v>8</v>
      </c>
      <c r="B343" s="1" t="s">
        <v>106</v>
      </c>
      <c r="C343" s="4">
        <v>104</v>
      </c>
      <c r="D343" s="8">
        <v>3.28</v>
      </c>
      <c r="E343" s="4">
        <v>86</v>
      </c>
      <c r="F343" s="8">
        <v>5.17</v>
      </c>
      <c r="G343" s="4">
        <v>18</v>
      </c>
      <c r="H343" s="8">
        <v>1.2</v>
      </c>
      <c r="I343" s="4">
        <v>0</v>
      </c>
    </row>
    <row r="344" spans="1:9" x14ac:dyDescent="0.2">
      <c r="A344" s="2">
        <v>9</v>
      </c>
      <c r="B344" s="1" t="s">
        <v>99</v>
      </c>
      <c r="C344" s="4">
        <v>99</v>
      </c>
      <c r="D344" s="8">
        <v>3.12</v>
      </c>
      <c r="E344" s="4">
        <v>21</v>
      </c>
      <c r="F344" s="8">
        <v>1.26</v>
      </c>
      <c r="G344" s="4">
        <v>78</v>
      </c>
      <c r="H344" s="8">
        <v>5.21</v>
      </c>
      <c r="I344" s="4">
        <v>0</v>
      </c>
    </row>
    <row r="345" spans="1:9" x14ac:dyDescent="0.2">
      <c r="A345" s="2">
        <v>10</v>
      </c>
      <c r="B345" s="1" t="s">
        <v>98</v>
      </c>
      <c r="C345" s="4">
        <v>97</v>
      </c>
      <c r="D345" s="8">
        <v>3.06</v>
      </c>
      <c r="E345" s="4">
        <v>23</v>
      </c>
      <c r="F345" s="8">
        <v>1.38</v>
      </c>
      <c r="G345" s="4">
        <v>74</v>
      </c>
      <c r="H345" s="8">
        <v>4.95</v>
      </c>
      <c r="I345" s="4">
        <v>0</v>
      </c>
    </row>
    <row r="346" spans="1:9" x14ac:dyDescent="0.2">
      <c r="A346" s="2">
        <v>11</v>
      </c>
      <c r="B346" s="1" t="s">
        <v>111</v>
      </c>
      <c r="C346" s="4">
        <v>94</v>
      </c>
      <c r="D346" s="8">
        <v>2.96</v>
      </c>
      <c r="E346" s="4">
        <v>48</v>
      </c>
      <c r="F346" s="8">
        <v>2.88</v>
      </c>
      <c r="G346" s="4">
        <v>46</v>
      </c>
      <c r="H346" s="8">
        <v>3.07</v>
      </c>
      <c r="I346" s="4">
        <v>0</v>
      </c>
    </row>
    <row r="347" spans="1:9" x14ac:dyDescent="0.2">
      <c r="A347" s="2">
        <v>12</v>
      </c>
      <c r="B347" s="1" t="s">
        <v>115</v>
      </c>
      <c r="C347" s="4">
        <v>81</v>
      </c>
      <c r="D347" s="8">
        <v>2.5499999999999998</v>
      </c>
      <c r="E347" s="4">
        <v>60</v>
      </c>
      <c r="F347" s="8">
        <v>3.61</v>
      </c>
      <c r="G347" s="4">
        <v>19</v>
      </c>
      <c r="H347" s="8">
        <v>1.27</v>
      </c>
      <c r="I347" s="4">
        <v>1</v>
      </c>
    </row>
    <row r="348" spans="1:9" x14ac:dyDescent="0.2">
      <c r="A348" s="2">
        <v>13</v>
      </c>
      <c r="B348" s="1" t="s">
        <v>101</v>
      </c>
      <c r="C348" s="4">
        <v>74</v>
      </c>
      <c r="D348" s="8">
        <v>2.33</v>
      </c>
      <c r="E348" s="4">
        <v>30</v>
      </c>
      <c r="F348" s="8">
        <v>1.8</v>
      </c>
      <c r="G348" s="4">
        <v>44</v>
      </c>
      <c r="H348" s="8">
        <v>2.94</v>
      </c>
      <c r="I348" s="4">
        <v>0</v>
      </c>
    </row>
    <row r="349" spans="1:9" x14ac:dyDescent="0.2">
      <c r="A349" s="2">
        <v>14</v>
      </c>
      <c r="B349" s="1" t="s">
        <v>120</v>
      </c>
      <c r="C349" s="4">
        <v>63</v>
      </c>
      <c r="D349" s="8">
        <v>1.99</v>
      </c>
      <c r="E349" s="4">
        <v>35</v>
      </c>
      <c r="F349" s="8">
        <v>2.1</v>
      </c>
      <c r="G349" s="4">
        <v>28</v>
      </c>
      <c r="H349" s="8">
        <v>1.87</v>
      </c>
      <c r="I349" s="4">
        <v>0</v>
      </c>
    </row>
    <row r="350" spans="1:9" x14ac:dyDescent="0.2">
      <c r="A350" s="2">
        <v>15</v>
      </c>
      <c r="B350" s="1" t="s">
        <v>104</v>
      </c>
      <c r="C350" s="4">
        <v>52</v>
      </c>
      <c r="D350" s="8">
        <v>1.64</v>
      </c>
      <c r="E350" s="4">
        <v>12</v>
      </c>
      <c r="F350" s="8">
        <v>0.72</v>
      </c>
      <c r="G350" s="4">
        <v>40</v>
      </c>
      <c r="H350" s="8">
        <v>2.67</v>
      </c>
      <c r="I350" s="4">
        <v>0</v>
      </c>
    </row>
    <row r="351" spans="1:9" x14ac:dyDescent="0.2">
      <c r="A351" s="2">
        <v>15</v>
      </c>
      <c r="B351" s="1" t="s">
        <v>107</v>
      </c>
      <c r="C351" s="4">
        <v>52</v>
      </c>
      <c r="D351" s="8">
        <v>1.64</v>
      </c>
      <c r="E351" s="4">
        <v>39</v>
      </c>
      <c r="F351" s="8">
        <v>2.34</v>
      </c>
      <c r="G351" s="4">
        <v>13</v>
      </c>
      <c r="H351" s="8">
        <v>0.87</v>
      </c>
      <c r="I351" s="4">
        <v>0</v>
      </c>
    </row>
    <row r="352" spans="1:9" x14ac:dyDescent="0.2">
      <c r="A352" s="2">
        <v>15</v>
      </c>
      <c r="B352" s="1" t="s">
        <v>109</v>
      </c>
      <c r="C352" s="4">
        <v>52</v>
      </c>
      <c r="D352" s="8">
        <v>1.64</v>
      </c>
      <c r="E352" s="4">
        <v>3</v>
      </c>
      <c r="F352" s="8">
        <v>0.18</v>
      </c>
      <c r="G352" s="4">
        <v>49</v>
      </c>
      <c r="H352" s="8">
        <v>3.28</v>
      </c>
      <c r="I352" s="4">
        <v>0</v>
      </c>
    </row>
    <row r="353" spans="1:9" x14ac:dyDescent="0.2">
      <c r="A353" s="2">
        <v>18</v>
      </c>
      <c r="B353" s="1" t="s">
        <v>105</v>
      </c>
      <c r="C353" s="4">
        <v>50</v>
      </c>
      <c r="D353" s="8">
        <v>1.58</v>
      </c>
      <c r="E353" s="4">
        <v>28</v>
      </c>
      <c r="F353" s="8">
        <v>1.68</v>
      </c>
      <c r="G353" s="4">
        <v>22</v>
      </c>
      <c r="H353" s="8">
        <v>1.47</v>
      </c>
      <c r="I353" s="4">
        <v>0</v>
      </c>
    </row>
    <row r="354" spans="1:9" x14ac:dyDescent="0.2">
      <c r="A354" s="2">
        <v>19</v>
      </c>
      <c r="B354" s="1" t="s">
        <v>112</v>
      </c>
      <c r="C354" s="4">
        <v>47</v>
      </c>
      <c r="D354" s="8">
        <v>1.48</v>
      </c>
      <c r="E354" s="4">
        <v>17</v>
      </c>
      <c r="F354" s="8">
        <v>1.02</v>
      </c>
      <c r="G354" s="4">
        <v>29</v>
      </c>
      <c r="H354" s="8">
        <v>1.94</v>
      </c>
      <c r="I354" s="4">
        <v>0</v>
      </c>
    </row>
    <row r="355" spans="1:9" x14ac:dyDescent="0.2">
      <c r="A355" s="2">
        <v>20</v>
      </c>
      <c r="B355" s="1" t="s">
        <v>103</v>
      </c>
      <c r="C355" s="4">
        <v>45</v>
      </c>
      <c r="D355" s="8">
        <v>1.42</v>
      </c>
      <c r="E355" s="4">
        <v>9</v>
      </c>
      <c r="F355" s="8">
        <v>0.54</v>
      </c>
      <c r="G355" s="4">
        <v>36</v>
      </c>
      <c r="H355" s="8">
        <v>2.41</v>
      </c>
      <c r="I355" s="4">
        <v>0</v>
      </c>
    </row>
    <row r="356" spans="1:9" x14ac:dyDescent="0.2">
      <c r="A356" s="1"/>
      <c r="C356" s="4"/>
      <c r="D356" s="8"/>
      <c r="E356" s="4"/>
      <c r="F356" s="8"/>
      <c r="G356" s="4"/>
      <c r="H356" s="8"/>
      <c r="I356" s="4"/>
    </row>
    <row r="357" spans="1:9" x14ac:dyDescent="0.2">
      <c r="A357" s="1" t="s">
        <v>16</v>
      </c>
      <c r="C357" s="4"/>
      <c r="D357" s="8"/>
      <c r="E357" s="4"/>
      <c r="F357" s="8"/>
      <c r="G357" s="4"/>
      <c r="H357" s="8"/>
      <c r="I357" s="4"/>
    </row>
    <row r="358" spans="1:9" x14ac:dyDescent="0.2">
      <c r="A358" s="2">
        <v>1</v>
      </c>
      <c r="B358" s="1" t="s">
        <v>110</v>
      </c>
      <c r="C358" s="4">
        <v>471</v>
      </c>
      <c r="D358" s="8">
        <v>15.69</v>
      </c>
      <c r="E358" s="4">
        <v>168</v>
      </c>
      <c r="F358" s="8">
        <v>11.17</v>
      </c>
      <c r="G358" s="4">
        <v>303</v>
      </c>
      <c r="H358" s="8">
        <v>20.27</v>
      </c>
      <c r="I358" s="4">
        <v>0</v>
      </c>
    </row>
    <row r="359" spans="1:9" x14ac:dyDescent="0.2">
      <c r="A359" s="2">
        <v>2</v>
      </c>
      <c r="B359" s="1" t="s">
        <v>113</v>
      </c>
      <c r="C359" s="4">
        <v>371</v>
      </c>
      <c r="D359" s="8">
        <v>12.36</v>
      </c>
      <c r="E359" s="4">
        <v>328</v>
      </c>
      <c r="F359" s="8">
        <v>21.81</v>
      </c>
      <c r="G359" s="4">
        <v>43</v>
      </c>
      <c r="H359" s="8">
        <v>2.88</v>
      </c>
      <c r="I359" s="4">
        <v>0</v>
      </c>
    </row>
    <row r="360" spans="1:9" x14ac:dyDescent="0.2">
      <c r="A360" s="2">
        <v>3</v>
      </c>
      <c r="B360" s="1" t="s">
        <v>114</v>
      </c>
      <c r="C360" s="4">
        <v>240</v>
      </c>
      <c r="D360" s="8">
        <v>7.99</v>
      </c>
      <c r="E360" s="4">
        <v>197</v>
      </c>
      <c r="F360" s="8">
        <v>13.1</v>
      </c>
      <c r="G360" s="4">
        <v>43</v>
      </c>
      <c r="H360" s="8">
        <v>2.88</v>
      </c>
      <c r="I360" s="4">
        <v>0</v>
      </c>
    </row>
    <row r="361" spans="1:9" x14ac:dyDescent="0.2">
      <c r="A361" s="2">
        <v>4</v>
      </c>
      <c r="B361" s="1" t="s">
        <v>108</v>
      </c>
      <c r="C361" s="4">
        <v>193</v>
      </c>
      <c r="D361" s="8">
        <v>6.43</v>
      </c>
      <c r="E361" s="4">
        <v>96</v>
      </c>
      <c r="F361" s="8">
        <v>6.38</v>
      </c>
      <c r="G361" s="4">
        <v>97</v>
      </c>
      <c r="H361" s="8">
        <v>6.49</v>
      </c>
      <c r="I361" s="4">
        <v>0</v>
      </c>
    </row>
    <row r="362" spans="1:9" x14ac:dyDescent="0.2">
      <c r="A362" s="2">
        <v>5</v>
      </c>
      <c r="B362" s="1" t="s">
        <v>116</v>
      </c>
      <c r="C362" s="4">
        <v>171</v>
      </c>
      <c r="D362" s="8">
        <v>5.7</v>
      </c>
      <c r="E362" s="4">
        <v>145</v>
      </c>
      <c r="F362" s="8">
        <v>9.64</v>
      </c>
      <c r="G362" s="4">
        <v>26</v>
      </c>
      <c r="H362" s="8">
        <v>1.74</v>
      </c>
      <c r="I362" s="4">
        <v>0</v>
      </c>
    </row>
    <row r="363" spans="1:9" x14ac:dyDescent="0.2">
      <c r="A363" s="2">
        <v>6</v>
      </c>
      <c r="B363" s="1" t="s">
        <v>106</v>
      </c>
      <c r="C363" s="4">
        <v>143</v>
      </c>
      <c r="D363" s="8">
        <v>4.76</v>
      </c>
      <c r="E363" s="4">
        <v>97</v>
      </c>
      <c r="F363" s="8">
        <v>6.45</v>
      </c>
      <c r="G363" s="4">
        <v>46</v>
      </c>
      <c r="H363" s="8">
        <v>3.08</v>
      </c>
      <c r="I363" s="4">
        <v>0</v>
      </c>
    </row>
    <row r="364" spans="1:9" x14ac:dyDescent="0.2">
      <c r="A364" s="2">
        <v>7</v>
      </c>
      <c r="B364" s="1" t="s">
        <v>111</v>
      </c>
      <c r="C364" s="4">
        <v>141</v>
      </c>
      <c r="D364" s="8">
        <v>4.7</v>
      </c>
      <c r="E364" s="4">
        <v>80</v>
      </c>
      <c r="F364" s="8">
        <v>5.32</v>
      </c>
      <c r="G364" s="4">
        <v>61</v>
      </c>
      <c r="H364" s="8">
        <v>4.08</v>
      </c>
      <c r="I364" s="4">
        <v>0</v>
      </c>
    </row>
    <row r="365" spans="1:9" x14ac:dyDescent="0.2">
      <c r="A365" s="2">
        <v>8</v>
      </c>
      <c r="B365" s="1" t="s">
        <v>105</v>
      </c>
      <c r="C365" s="4">
        <v>127</v>
      </c>
      <c r="D365" s="8">
        <v>4.2300000000000004</v>
      </c>
      <c r="E365" s="4">
        <v>46</v>
      </c>
      <c r="F365" s="8">
        <v>3.06</v>
      </c>
      <c r="G365" s="4">
        <v>81</v>
      </c>
      <c r="H365" s="8">
        <v>5.42</v>
      </c>
      <c r="I365" s="4">
        <v>0</v>
      </c>
    </row>
    <row r="366" spans="1:9" x14ac:dyDescent="0.2">
      <c r="A366" s="2">
        <v>9</v>
      </c>
      <c r="B366" s="1" t="s">
        <v>115</v>
      </c>
      <c r="C366" s="4">
        <v>109</v>
      </c>
      <c r="D366" s="8">
        <v>3.63</v>
      </c>
      <c r="E366" s="4">
        <v>67</v>
      </c>
      <c r="F366" s="8">
        <v>4.45</v>
      </c>
      <c r="G366" s="4">
        <v>41</v>
      </c>
      <c r="H366" s="8">
        <v>2.74</v>
      </c>
      <c r="I366" s="4">
        <v>0</v>
      </c>
    </row>
    <row r="367" spans="1:9" x14ac:dyDescent="0.2">
      <c r="A367" s="2">
        <v>10</v>
      </c>
      <c r="B367" s="1" t="s">
        <v>109</v>
      </c>
      <c r="C367" s="4">
        <v>84</v>
      </c>
      <c r="D367" s="8">
        <v>2.8</v>
      </c>
      <c r="E367" s="4">
        <v>15</v>
      </c>
      <c r="F367" s="8">
        <v>1</v>
      </c>
      <c r="G367" s="4">
        <v>69</v>
      </c>
      <c r="H367" s="8">
        <v>4.62</v>
      </c>
      <c r="I367" s="4">
        <v>0</v>
      </c>
    </row>
    <row r="368" spans="1:9" x14ac:dyDescent="0.2">
      <c r="A368" s="2">
        <v>11</v>
      </c>
      <c r="B368" s="1" t="s">
        <v>98</v>
      </c>
      <c r="C368" s="4">
        <v>67</v>
      </c>
      <c r="D368" s="8">
        <v>2.23</v>
      </c>
      <c r="E368" s="4">
        <v>13</v>
      </c>
      <c r="F368" s="8">
        <v>0.86</v>
      </c>
      <c r="G368" s="4">
        <v>54</v>
      </c>
      <c r="H368" s="8">
        <v>3.61</v>
      </c>
      <c r="I368" s="4">
        <v>0</v>
      </c>
    </row>
    <row r="369" spans="1:9" x14ac:dyDescent="0.2">
      <c r="A369" s="2">
        <v>12</v>
      </c>
      <c r="B369" s="1" t="s">
        <v>104</v>
      </c>
      <c r="C369" s="4">
        <v>63</v>
      </c>
      <c r="D369" s="8">
        <v>2.1</v>
      </c>
      <c r="E369" s="4">
        <v>17</v>
      </c>
      <c r="F369" s="8">
        <v>1.1299999999999999</v>
      </c>
      <c r="G369" s="4">
        <v>46</v>
      </c>
      <c r="H369" s="8">
        <v>3.08</v>
      </c>
      <c r="I369" s="4">
        <v>0</v>
      </c>
    </row>
    <row r="370" spans="1:9" x14ac:dyDescent="0.2">
      <c r="A370" s="2">
        <v>13</v>
      </c>
      <c r="B370" s="1" t="s">
        <v>107</v>
      </c>
      <c r="C370" s="4">
        <v>58</v>
      </c>
      <c r="D370" s="8">
        <v>1.93</v>
      </c>
      <c r="E370" s="4">
        <v>34</v>
      </c>
      <c r="F370" s="8">
        <v>2.2599999999999998</v>
      </c>
      <c r="G370" s="4">
        <v>24</v>
      </c>
      <c r="H370" s="8">
        <v>1.61</v>
      </c>
      <c r="I370" s="4">
        <v>0</v>
      </c>
    </row>
    <row r="371" spans="1:9" x14ac:dyDescent="0.2">
      <c r="A371" s="2">
        <v>14</v>
      </c>
      <c r="B371" s="1" t="s">
        <v>112</v>
      </c>
      <c r="C371" s="4">
        <v>57</v>
      </c>
      <c r="D371" s="8">
        <v>1.9</v>
      </c>
      <c r="E371" s="4">
        <v>24</v>
      </c>
      <c r="F371" s="8">
        <v>1.6</v>
      </c>
      <c r="G371" s="4">
        <v>33</v>
      </c>
      <c r="H371" s="8">
        <v>2.21</v>
      </c>
      <c r="I371" s="4">
        <v>0</v>
      </c>
    </row>
    <row r="372" spans="1:9" x14ac:dyDescent="0.2">
      <c r="A372" s="2">
        <v>15</v>
      </c>
      <c r="B372" s="1" t="s">
        <v>100</v>
      </c>
      <c r="C372" s="4">
        <v>52</v>
      </c>
      <c r="D372" s="8">
        <v>1.73</v>
      </c>
      <c r="E372" s="4">
        <v>14</v>
      </c>
      <c r="F372" s="8">
        <v>0.93</v>
      </c>
      <c r="G372" s="4">
        <v>38</v>
      </c>
      <c r="H372" s="8">
        <v>2.54</v>
      </c>
      <c r="I372" s="4">
        <v>0</v>
      </c>
    </row>
    <row r="373" spans="1:9" x14ac:dyDescent="0.2">
      <c r="A373" s="2">
        <v>16</v>
      </c>
      <c r="B373" s="1" t="s">
        <v>99</v>
      </c>
      <c r="C373" s="4">
        <v>46</v>
      </c>
      <c r="D373" s="8">
        <v>1.53</v>
      </c>
      <c r="E373" s="4">
        <v>14</v>
      </c>
      <c r="F373" s="8">
        <v>0.93</v>
      </c>
      <c r="G373" s="4">
        <v>32</v>
      </c>
      <c r="H373" s="8">
        <v>2.14</v>
      </c>
      <c r="I373" s="4">
        <v>0</v>
      </c>
    </row>
    <row r="374" spans="1:9" x14ac:dyDescent="0.2">
      <c r="A374" s="2">
        <v>17</v>
      </c>
      <c r="B374" s="1" t="s">
        <v>117</v>
      </c>
      <c r="C374" s="4">
        <v>42</v>
      </c>
      <c r="D374" s="8">
        <v>1.4</v>
      </c>
      <c r="E374" s="4">
        <v>0</v>
      </c>
      <c r="F374" s="8">
        <v>0</v>
      </c>
      <c r="G374" s="4">
        <v>41</v>
      </c>
      <c r="H374" s="8">
        <v>2.74</v>
      </c>
      <c r="I374" s="4">
        <v>1</v>
      </c>
    </row>
    <row r="375" spans="1:9" x14ac:dyDescent="0.2">
      <c r="A375" s="2">
        <v>18</v>
      </c>
      <c r="B375" s="1" t="s">
        <v>121</v>
      </c>
      <c r="C375" s="4">
        <v>36</v>
      </c>
      <c r="D375" s="8">
        <v>1.2</v>
      </c>
      <c r="E375" s="4">
        <v>13</v>
      </c>
      <c r="F375" s="8">
        <v>0.86</v>
      </c>
      <c r="G375" s="4">
        <v>23</v>
      </c>
      <c r="H375" s="8">
        <v>1.54</v>
      </c>
      <c r="I375" s="4">
        <v>0</v>
      </c>
    </row>
    <row r="376" spans="1:9" x14ac:dyDescent="0.2">
      <c r="A376" s="2">
        <v>19</v>
      </c>
      <c r="B376" s="1" t="s">
        <v>102</v>
      </c>
      <c r="C376" s="4">
        <v>35</v>
      </c>
      <c r="D376" s="8">
        <v>1.17</v>
      </c>
      <c r="E376" s="4">
        <v>7</v>
      </c>
      <c r="F376" s="8">
        <v>0.47</v>
      </c>
      <c r="G376" s="4">
        <v>28</v>
      </c>
      <c r="H376" s="8">
        <v>1.87</v>
      </c>
      <c r="I376" s="4">
        <v>0</v>
      </c>
    </row>
    <row r="377" spans="1:9" x14ac:dyDescent="0.2">
      <c r="A377" s="2">
        <v>20</v>
      </c>
      <c r="B377" s="1" t="s">
        <v>118</v>
      </c>
      <c r="C377" s="4">
        <v>34</v>
      </c>
      <c r="D377" s="8">
        <v>1.1299999999999999</v>
      </c>
      <c r="E377" s="4">
        <v>8</v>
      </c>
      <c r="F377" s="8">
        <v>0.53</v>
      </c>
      <c r="G377" s="4">
        <v>26</v>
      </c>
      <c r="H377" s="8">
        <v>1.74</v>
      </c>
      <c r="I377" s="4">
        <v>0</v>
      </c>
    </row>
    <row r="378" spans="1:9" x14ac:dyDescent="0.2">
      <c r="A378" s="1"/>
      <c r="C378" s="4"/>
      <c r="D378" s="8"/>
      <c r="E378" s="4"/>
      <c r="F378" s="8"/>
      <c r="G378" s="4"/>
      <c r="H378" s="8"/>
      <c r="I378" s="4"/>
    </row>
    <row r="379" spans="1:9" x14ac:dyDescent="0.2">
      <c r="A379" s="1" t="s">
        <v>17</v>
      </c>
      <c r="C379" s="4"/>
      <c r="D379" s="8"/>
      <c r="E379" s="4"/>
      <c r="F379" s="8"/>
      <c r="G379" s="4"/>
      <c r="H379" s="8"/>
      <c r="I379" s="4"/>
    </row>
    <row r="380" spans="1:9" x14ac:dyDescent="0.2">
      <c r="A380" s="2">
        <v>1</v>
      </c>
      <c r="B380" s="1" t="s">
        <v>110</v>
      </c>
      <c r="C380" s="4">
        <v>486</v>
      </c>
      <c r="D380" s="8">
        <v>16.04</v>
      </c>
      <c r="E380" s="4">
        <v>200</v>
      </c>
      <c r="F380" s="8">
        <v>11.87</v>
      </c>
      <c r="G380" s="4">
        <v>286</v>
      </c>
      <c r="H380" s="8">
        <v>21.39</v>
      </c>
      <c r="I380" s="4">
        <v>0</v>
      </c>
    </row>
    <row r="381" spans="1:9" x14ac:dyDescent="0.2">
      <c r="A381" s="2">
        <v>2</v>
      </c>
      <c r="B381" s="1" t="s">
        <v>113</v>
      </c>
      <c r="C381" s="4">
        <v>359</v>
      </c>
      <c r="D381" s="8">
        <v>11.85</v>
      </c>
      <c r="E381" s="4">
        <v>326</v>
      </c>
      <c r="F381" s="8">
        <v>19.350000000000001</v>
      </c>
      <c r="G381" s="4">
        <v>33</v>
      </c>
      <c r="H381" s="8">
        <v>2.4700000000000002</v>
      </c>
      <c r="I381" s="4">
        <v>0</v>
      </c>
    </row>
    <row r="382" spans="1:9" x14ac:dyDescent="0.2">
      <c r="A382" s="2">
        <v>3</v>
      </c>
      <c r="B382" s="1" t="s">
        <v>114</v>
      </c>
      <c r="C382" s="4">
        <v>307</v>
      </c>
      <c r="D382" s="8">
        <v>10.130000000000001</v>
      </c>
      <c r="E382" s="4">
        <v>269</v>
      </c>
      <c r="F382" s="8">
        <v>15.96</v>
      </c>
      <c r="G382" s="4">
        <v>38</v>
      </c>
      <c r="H382" s="8">
        <v>2.84</v>
      </c>
      <c r="I382" s="4">
        <v>0</v>
      </c>
    </row>
    <row r="383" spans="1:9" x14ac:dyDescent="0.2">
      <c r="A383" s="2">
        <v>4</v>
      </c>
      <c r="B383" s="1" t="s">
        <v>116</v>
      </c>
      <c r="C383" s="4">
        <v>201</v>
      </c>
      <c r="D383" s="8">
        <v>6.63</v>
      </c>
      <c r="E383" s="4">
        <v>168</v>
      </c>
      <c r="F383" s="8">
        <v>9.9700000000000006</v>
      </c>
      <c r="G383" s="4">
        <v>33</v>
      </c>
      <c r="H383" s="8">
        <v>2.4700000000000002</v>
      </c>
      <c r="I383" s="4">
        <v>0</v>
      </c>
    </row>
    <row r="384" spans="1:9" x14ac:dyDescent="0.2">
      <c r="A384" s="2">
        <v>5</v>
      </c>
      <c r="B384" s="1" t="s">
        <v>108</v>
      </c>
      <c r="C384" s="4">
        <v>169</v>
      </c>
      <c r="D384" s="8">
        <v>5.58</v>
      </c>
      <c r="E384" s="4">
        <v>123</v>
      </c>
      <c r="F384" s="8">
        <v>7.3</v>
      </c>
      <c r="G384" s="4">
        <v>46</v>
      </c>
      <c r="H384" s="8">
        <v>3.44</v>
      </c>
      <c r="I384" s="4">
        <v>0</v>
      </c>
    </row>
    <row r="385" spans="1:9" x14ac:dyDescent="0.2">
      <c r="A385" s="2">
        <v>6</v>
      </c>
      <c r="B385" s="1" t="s">
        <v>98</v>
      </c>
      <c r="C385" s="4">
        <v>127</v>
      </c>
      <c r="D385" s="8">
        <v>4.1900000000000004</v>
      </c>
      <c r="E385" s="4">
        <v>23</v>
      </c>
      <c r="F385" s="8">
        <v>1.36</v>
      </c>
      <c r="G385" s="4">
        <v>104</v>
      </c>
      <c r="H385" s="8">
        <v>7.78</v>
      </c>
      <c r="I385" s="4">
        <v>0</v>
      </c>
    </row>
    <row r="386" spans="1:9" x14ac:dyDescent="0.2">
      <c r="A386" s="2">
        <v>7</v>
      </c>
      <c r="B386" s="1" t="s">
        <v>106</v>
      </c>
      <c r="C386" s="4">
        <v>120</v>
      </c>
      <c r="D386" s="8">
        <v>3.96</v>
      </c>
      <c r="E386" s="4">
        <v>96</v>
      </c>
      <c r="F386" s="8">
        <v>5.7</v>
      </c>
      <c r="G386" s="4">
        <v>24</v>
      </c>
      <c r="H386" s="8">
        <v>1.8</v>
      </c>
      <c r="I386" s="4">
        <v>0</v>
      </c>
    </row>
    <row r="387" spans="1:9" x14ac:dyDescent="0.2">
      <c r="A387" s="2">
        <v>8</v>
      </c>
      <c r="B387" s="1" t="s">
        <v>100</v>
      </c>
      <c r="C387" s="4">
        <v>106</v>
      </c>
      <c r="D387" s="8">
        <v>3.5</v>
      </c>
      <c r="E387" s="4">
        <v>30</v>
      </c>
      <c r="F387" s="8">
        <v>1.78</v>
      </c>
      <c r="G387" s="4">
        <v>76</v>
      </c>
      <c r="H387" s="8">
        <v>5.68</v>
      </c>
      <c r="I387" s="4">
        <v>0</v>
      </c>
    </row>
    <row r="388" spans="1:9" x14ac:dyDescent="0.2">
      <c r="A388" s="2">
        <v>9</v>
      </c>
      <c r="B388" s="1" t="s">
        <v>99</v>
      </c>
      <c r="C388" s="4">
        <v>92</v>
      </c>
      <c r="D388" s="8">
        <v>3.04</v>
      </c>
      <c r="E388" s="4">
        <v>18</v>
      </c>
      <c r="F388" s="8">
        <v>1.07</v>
      </c>
      <c r="G388" s="4">
        <v>74</v>
      </c>
      <c r="H388" s="8">
        <v>5.53</v>
      </c>
      <c r="I388" s="4">
        <v>0</v>
      </c>
    </row>
    <row r="389" spans="1:9" x14ac:dyDescent="0.2">
      <c r="A389" s="2">
        <v>10</v>
      </c>
      <c r="B389" s="1" t="s">
        <v>109</v>
      </c>
      <c r="C389" s="4">
        <v>88</v>
      </c>
      <c r="D389" s="8">
        <v>2.9</v>
      </c>
      <c r="E389" s="4">
        <v>24</v>
      </c>
      <c r="F389" s="8">
        <v>1.42</v>
      </c>
      <c r="G389" s="4">
        <v>63</v>
      </c>
      <c r="H389" s="8">
        <v>4.71</v>
      </c>
      <c r="I389" s="4">
        <v>1</v>
      </c>
    </row>
    <row r="390" spans="1:9" x14ac:dyDescent="0.2">
      <c r="A390" s="2">
        <v>11</v>
      </c>
      <c r="B390" s="1" t="s">
        <v>115</v>
      </c>
      <c r="C390" s="4">
        <v>85</v>
      </c>
      <c r="D390" s="8">
        <v>2.81</v>
      </c>
      <c r="E390" s="4">
        <v>70</v>
      </c>
      <c r="F390" s="8">
        <v>4.1500000000000004</v>
      </c>
      <c r="G390" s="4">
        <v>12</v>
      </c>
      <c r="H390" s="8">
        <v>0.9</v>
      </c>
      <c r="I390" s="4">
        <v>2</v>
      </c>
    </row>
    <row r="391" spans="1:9" x14ac:dyDescent="0.2">
      <c r="A391" s="2">
        <v>12</v>
      </c>
      <c r="B391" s="1" t="s">
        <v>111</v>
      </c>
      <c r="C391" s="4">
        <v>75</v>
      </c>
      <c r="D391" s="8">
        <v>2.48</v>
      </c>
      <c r="E391" s="4">
        <v>48</v>
      </c>
      <c r="F391" s="8">
        <v>2.85</v>
      </c>
      <c r="G391" s="4">
        <v>27</v>
      </c>
      <c r="H391" s="8">
        <v>2.02</v>
      </c>
      <c r="I391" s="4">
        <v>0</v>
      </c>
    </row>
    <row r="392" spans="1:9" x14ac:dyDescent="0.2">
      <c r="A392" s="2">
        <v>13</v>
      </c>
      <c r="B392" s="1" t="s">
        <v>105</v>
      </c>
      <c r="C392" s="4">
        <v>67</v>
      </c>
      <c r="D392" s="8">
        <v>2.21</v>
      </c>
      <c r="E392" s="4">
        <v>44</v>
      </c>
      <c r="F392" s="8">
        <v>2.61</v>
      </c>
      <c r="G392" s="4">
        <v>23</v>
      </c>
      <c r="H392" s="8">
        <v>1.72</v>
      </c>
      <c r="I392" s="4">
        <v>0</v>
      </c>
    </row>
    <row r="393" spans="1:9" x14ac:dyDescent="0.2">
      <c r="A393" s="2">
        <v>14</v>
      </c>
      <c r="B393" s="1" t="s">
        <v>107</v>
      </c>
      <c r="C393" s="4">
        <v>65</v>
      </c>
      <c r="D393" s="8">
        <v>2.15</v>
      </c>
      <c r="E393" s="4">
        <v>44</v>
      </c>
      <c r="F393" s="8">
        <v>2.61</v>
      </c>
      <c r="G393" s="4">
        <v>21</v>
      </c>
      <c r="H393" s="8">
        <v>1.57</v>
      </c>
      <c r="I393" s="4">
        <v>0</v>
      </c>
    </row>
    <row r="394" spans="1:9" x14ac:dyDescent="0.2">
      <c r="A394" s="2">
        <v>15</v>
      </c>
      <c r="B394" s="1" t="s">
        <v>104</v>
      </c>
      <c r="C394" s="4">
        <v>63</v>
      </c>
      <c r="D394" s="8">
        <v>2.08</v>
      </c>
      <c r="E394" s="4">
        <v>12</v>
      </c>
      <c r="F394" s="8">
        <v>0.71</v>
      </c>
      <c r="G394" s="4">
        <v>51</v>
      </c>
      <c r="H394" s="8">
        <v>3.81</v>
      </c>
      <c r="I394" s="4">
        <v>0</v>
      </c>
    </row>
    <row r="395" spans="1:9" x14ac:dyDescent="0.2">
      <c r="A395" s="2">
        <v>16</v>
      </c>
      <c r="B395" s="1" t="s">
        <v>130</v>
      </c>
      <c r="C395" s="4">
        <v>61</v>
      </c>
      <c r="D395" s="8">
        <v>2.0099999999999998</v>
      </c>
      <c r="E395" s="4">
        <v>39</v>
      </c>
      <c r="F395" s="8">
        <v>2.31</v>
      </c>
      <c r="G395" s="4">
        <v>22</v>
      </c>
      <c r="H395" s="8">
        <v>1.65</v>
      </c>
      <c r="I395" s="4">
        <v>0</v>
      </c>
    </row>
    <row r="396" spans="1:9" x14ac:dyDescent="0.2">
      <c r="A396" s="2">
        <v>17</v>
      </c>
      <c r="B396" s="1" t="s">
        <v>112</v>
      </c>
      <c r="C396" s="4">
        <v>48</v>
      </c>
      <c r="D396" s="8">
        <v>1.58</v>
      </c>
      <c r="E396" s="4">
        <v>22</v>
      </c>
      <c r="F396" s="8">
        <v>1.31</v>
      </c>
      <c r="G396" s="4">
        <v>26</v>
      </c>
      <c r="H396" s="8">
        <v>1.94</v>
      </c>
      <c r="I396" s="4">
        <v>0</v>
      </c>
    </row>
    <row r="397" spans="1:9" x14ac:dyDescent="0.2">
      <c r="A397" s="2">
        <v>18</v>
      </c>
      <c r="B397" s="1" t="s">
        <v>117</v>
      </c>
      <c r="C397" s="4">
        <v>44</v>
      </c>
      <c r="D397" s="8">
        <v>1.45</v>
      </c>
      <c r="E397" s="4">
        <v>0</v>
      </c>
      <c r="F397" s="8">
        <v>0</v>
      </c>
      <c r="G397" s="4">
        <v>42</v>
      </c>
      <c r="H397" s="8">
        <v>3.14</v>
      </c>
      <c r="I397" s="4">
        <v>2</v>
      </c>
    </row>
    <row r="398" spans="1:9" x14ac:dyDescent="0.2">
      <c r="A398" s="2">
        <v>19</v>
      </c>
      <c r="B398" s="1" t="s">
        <v>119</v>
      </c>
      <c r="C398" s="4">
        <v>36</v>
      </c>
      <c r="D398" s="8">
        <v>1.19</v>
      </c>
      <c r="E398" s="4">
        <v>5</v>
      </c>
      <c r="F398" s="8">
        <v>0.3</v>
      </c>
      <c r="G398" s="4">
        <v>31</v>
      </c>
      <c r="H398" s="8">
        <v>2.3199999999999998</v>
      </c>
      <c r="I398" s="4">
        <v>0</v>
      </c>
    </row>
    <row r="399" spans="1:9" x14ac:dyDescent="0.2">
      <c r="A399" s="2">
        <v>20</v>
      </c>
      <c r="B399" s="1" t="s">
        <v>135</v>
      </c>
      <c r="C399" s="4">
        <v>30</v>
      </c>
      <c r="D399" s="8">
        <v>0.99</v>
      </c>
      <c r="E399" s="4">
        <v>2</v>
      </c>
      <c r="F399" s="8">
        <v>0.12</v>
      </c>
      <c r="G399" s="4">
        <v>28</v>
      </c>
      <c r="H399" s="8">
        <v>2.09</v>
      </c>
      <c r="I399" s="4">
        <v>0</v>
      </c>
    </row>
    <row r="400" spans="1:9" x14ac:dyDescent="0.2">
      <c r="A400" s="1"/>
      <c r="C400" s="4"/>
      <c r="D400" s="8"/>
      <c r="E400" s="4"/>
      <c r="F400" s="8"/>
      <c r="G400" s="4"/>
      <c r="H400" s="8"/>
      <c r="I400" s="4"/>
    </row>
    <row r="401" spans="1:9" x14ac:dyDescent="0.2">
      <c r="A401" s="1" t="s">
        <v>18</v>
      </c>
      <c r="C401" s="4"/>
      <c r="D401" s="8"/>
      <c r="E401" s="4"/>
      <c r="F401" s="8"/>
      <c r="G401" s="4"/>
      <c r="H401" s="8"/>
      <c r="I401" s="4"/>
    </row>
    <row r="402" spans="1:9" x14ac:dyDescent="0.2">
      <c r="A402" s="2">
        <v>1</v>
      </c>
      <c r="B402" s="1" t="s">
        <v>110</v>
      </c>
      <c r="C402" s="4">
        <v>404</v>
      </c>
      <c r="D402" s="8">
        <v>11.6</v>
      </c>
      <c r="E402" s="4">
        <v>146</v>
      </c>
      <c r="F402" s="8">
        <v>7.82</v>
      </c>
      <c r="G402" s="4">
        <v>258</v>
      </c>
      <c r="H402" s="8">
        <v>16.09</v>
      </c>
      <c r="I402" s="4">
        <v>0</v>
      </c>
    </row>
    <row r="403" spans="1:9" x14ac:dyDescent="0.2">
      <c r="A403" s="2">
        <v>2</v>
      </c>
      <c r="B403" s="1" t="s">
        <v>113</v>
      </c>
      <c r="C403" s="4">
        <v>402</v>
      </c>
      <c r="D403" s="8">
        <v>11.54</v>
      </c>
      <c r="E403" s="4">
        <v>386</v>
      </c>
      <c r="F403" s="8">
        <v>20.66</v>
      </c>
      <c r="G403" s="4">
        <v>15</v>
      </c>
      <c r="H403" s="8">
        <v>0.94</v>
      </c>
      <c r="I403" s="4">
        <v>1</v>
      </c>
    </row>
    <row r="404" spans="1:9" x14ac:dyDescent="0.2">
      <c r="A404" s="2">
        <v>3</v>
      </c>
      <c r="B404" s="1" t="s">
        <v>114</v>
      </c>
      <c r="C404" s="4">
        <v>259</v>
      </c>
      <c r="D404" s="8">
        <v>7.44</v>
      </c>
      <c r="E404" s="4">
        <v>232</v>
      </c>
      <c r="F404" s="8">
        <v>12.42</v>
      </c>
      <c r="G404" s="4">
        <v>27</v>
      </c>
      <c r="H404" s="8">
        <v>1.68</v>
      </c>
      <c r="I404" s="4">
        <v>0</v>
      </c>
    </row>
    <row r="405" spans="1:9" x14ac:dyDescent="0.2">
      <c r="A405" s="2">
        <v>4</v>
      </c>
      <c r="B405" s="1" t="s">
        <v>108</v>
      </c>
      <c r="C405" s="4">
        <v>179</v>
      </c>
      <c r="D405" s="8">
        <v>5.14</v>
      </c>
      <c r="E405" s="4">
        <v>119</v>
      </c>
      <c r="F405" s="8">
        <v>6.37</v>
      </c>
      <c r="G405" s="4">
        <v>60</v>
      </c>
      <c r="H405" s="8">
        <v>3.74</v>
      </c>
      <c r="I405" s="4">
        <v>0</v>
      </c>
    </row>
    <row r="406" spans="1:9" x14ac:dyDescent="0.2">
      <c r="A406" s="2">
        <v>5</v>
      </c>
      <c r="B406" s="1" t="s">
        <v>106</v>
      </c>
      <c r="C406" s="4">
        <v>160</v>
      </c>
      <c r="D406" s="8">
        <v>4.59</v>
      </c>
      <c r="E406" s="4">
        <v>128</v>
      </c>
      <c r="F406" s="8">
        <v>6.85</v>
      </c>
      <c r="G406" s="4">
        <v>32</v>
      </c>
      <c r="H406" s="8">
        <v>2</v>
      </c>
      <c r="I406" s="4">
        <v>0</v>
      </c>
    </row>
    <row r="407" spans="1:9" x14ac:dyDescent="0.2">
      <c r="A407" s="2">
        <v>6</v>
      </c>
      <c r="B407" s="1" t="s">
        <v>116</v>
      </c>
      <c r="C407" s="4">
        <v>157</v>
      </c>
      <c r="D407" s="8">
        <v>4.51</v>
      </c>
      <c r="E407" s="4">
        <v>131</v>
      </c>
      <c r="F407" s="8">
        <v>7.01</v>
      </c>
      <c r="G407" s="4">
        <v>26</v>
      </c>
      <c r="H407" s="8">
        <v>1.62</v>
      </c>
      <c r="I407" s="4">
        <v>0</v>
      </c>
    </row>
    <row r="408" spans="1:9" x14ac:dyDescent="0.2">
      <c r="A408" s="2">
        <v>7</v>
      </c>
      <c r="B408" s="1" t="s">
        <v>98</v>
      </c>
      <c r="C408" s="4">
        <v>150</v>
      </c>
      <c r="D408" s="8">
        <v>4.3099999999999996</v>
      </c>
      <c r="E408" s="4">
        <v>37</v>
      </c>
      <c r="F408" s="8">
        <v>1.98</v>
      </c>
      <c r="G408" s="4">
        <v>113</v>
      </c>
      <c r="H408" s="8">
        <v>7.05</v>
      </c>
      <c r="I408" s="4">
        <v>0</v>
      </c>
    </row>
    <row r="409" spans="1:9" x14ac:dyDescent="0.2">
      <c r="A409" s="2">
        <v>8</v>
      </c>
      <c r="B409" s="1" t="s">
        <v>99</v>
      </c>
      <c r="C409" s="4">
        <v>119</v>
      </c>
      <c r="D409" s="8">
        <v>3.42</v>
      </c>
      <c r="E409" s="4">
        <v>32</v>
      </c>
      <c r="F409" s="8">
        <v>1.71</v>
      </c>
      <c r="G409" s="4">
        <v>87</v>
      </c>
      <c r="H409" s="8">
        <v>5.43</v>
      </c>
      <c r="I409" s="4">
        <v>0</v>
      </c>
    </row>
    <row r="410" spans="1:9" x14ac:dyDescent="0.2">
      <c r="A410" s="2">
        <v>8</v>
      </c>
      <c r="B410" s="1" t="s">
        <v>100</v>
      </c>
      <c r="C410" s="4">
        <v>119</v>
      </c>
      <c r="D410" s="8">
        <v>3.42</v>
      </c>
      <c r="E410" s="4">
        <v>21</v>
      </c>
      <c r="F410" s="8">
        <v>1.1200000000000001</v>
      </c>
      <c r="G410" s="4">
        <v>98</v>
      </c>
      <c r="H410" s="8">
        <v>6.11</v>
      </c>
      <c r="I410" s="4">
        <v>0</v>
      </c>
    </row>
    <row r="411" spans="1:9" x14ac:dyDescent="0.2">
      <c r="A411" s="2">
        <v>10</v>
      </c>
      <c r="B411" s="1" t="s">
        <v>115</v>
      </c>
      <c r="C411" s="4">
        <v>97</v>
      </c>
      <c r="D411" s="8">
        <v>2.78</v>
      </c>
      <c r="E411" s="4">
        <v>77</v>
      </c>
      <c r="F411" s="8">
        <v>4.12</v>
      </c>
      <c r="G411" s="4">
        <v>18</v>
      </c>
      <c r="H411" s="8">
        <v>1.1200000000000001</v>
      </c>
      <c r="I411" s="4">
        <v>1</v>
      </c>
    </row>
    <row r="412" spans="1:9" x14ac:dyDescent="0.2">
      <c r="A412" s="2">
        <v>11</v>
      </c>
      <c r="B412" s="1" t="s">
        <v>105</v>
      </c>
      <c r="C412" s="4">
        <v>95</v>
      </c>
      <c r="D412" s="8">
        <v>2.73</v>
      </c>
      <c r="E412" s="4">
        <v>74</v>
      </c>
      <c r="F412" s="8">
        <v>3.96</v>
      </c>
      <c r="G412" s="4">
        <v>21</v>
      </c>
      <c r="H412" s="8">
        <v>1.31</v>
      </c>
      <c r="I412" s="4">
        <v>0</v>
      </c>
    </row>
    <row r="413" spans="1:9" x14ac:dyDescent="0.2">
      <c r="A413" s="2">
        <v>12</v>
      </c>
      <c r="B413" s="1" t="s">
        <v>107</v>
      </c>
      <c r="C413" s="4">
        <v>89</v>
      </c>
      <c r="D413" s="8">
        <v>2.56</v>
      </c>
      <c r="E413" s="4">
        <v>52</v>
      </c>
      <c r="F413" s="8">
        <v>2.78</v>
      </c>
      <c r="G413" s="4">
        <v>37</v>
      </c>
      <c r="H413" s="8">
        <v>2.31</v>
      </c>
      <c r="I413" s="4">
        <v>0</v>
      </c>
    </row>
    <row r="414" spans="1:9" x14ac:dyDescent="0.2">
      <c r="A414" s="2">
        <v>13</v>
      </c>
      <c r="B414" s="1" t="s">
        <v>121</v>
      </c>
      <c r="C414" s="4">
        <v>80</v>
      </c>
      <c r="D414" s="8">
        <v>2.2999999999999998</v>
      </c>
      <c r="E414" s="4">
        <v>33</v>
      </c>
      <c r="F414" s="8">
        <v>1.77</v>
      </c>
      <c r="G414" s="4">
        <v>46</v>
      </c>
      <c r="H414" s="8">
        <v>2.87</v>
      </c>
      <c r="I414" s="4">
        <v>1</v>
      </c>
    </row>
    <row r="415" spans="1:9" x14ac:dyDescent="0.2">
      <c r="A415" s="2">
        <v>13</v>
      </c>
      <c r="B415" s="1" t="s">
        <v>104</v>
      </c>
      <c r="C415" s="4">
        <v>80</v>
      </c>
      <c r="D415" s="8">
        <v>2.2999999999999998</v>
      </c>
      <c r="E415" s="4">
        <v>23</v>
      </c>
      <c r="F415" s="8">
        <v>1.23</v>
      </c>
      <c r="G415" s="4">
        <v>57</v>
      </c>
      <c r="H415" s="8">
        <v>3.56</v>
      </c>
      <c r="I415" s="4">
        <v>0</v>
      </c>
    </row>
    <row r="416" spans="1:9" x14ac:dyDescent="0.2">
      <c r="A416" s="2">
        <v>15</v>
      </c>
      <c r="B416" s="1" t="s">
        <v>109</v>
      </c>
      <c r="C416" s="4">
        <v>79</v>
      </c>
      <c r="D416" s="8">
        <v>2.27</v>
      </c>
      <c r="E416" s="4">
        <v>19</v>
      </c>
      <c r="F416" s="8">
        <v>1.02</v>
      </c>
      <c r="G416" s="4">
        <v>60</v>
      </c>
      <c r="H416" s="8">
        <v>3.74</v>
      </c>
      <c r="I416" s="4">
        <v>0</v>
      </c>
    </row>
    <row r="417" spans="1:9" x14ac:dyDescent="0.2">
      <c r="A417" s="2">
        <v>16</v>
      </c>
      <c r="B417" s="1" t="s">
        <v>111</v>
      </c>
      <c r="C417" s="4">
        <v>71</v>
      </c>
      <c r="D417" s="8">
        <v>2.04</v>
      </c>
      <c r="E417" s="4">
        <v>42</v>
      </c>
      <c r="F417" s="8">
        <v>2.25</v>
      </c>
      <c r="G417" s="4">
        <v>29</v>
      </c>
      <c r="H417" s="8">
        <v>1.81</v>
      </c>
      <c r="I417" s="4">
        <v>0</v>
      </c>
    </row>
    <row r="418" spans="1:9" x14ac:dyDescent="0.2">
      <c r="A418" s="2">
        <v>17</v>
      </c>
      <c r="B418" s="1" t="s">
        <v>122</v>
      </c>
      <c r="C418" s="4">
        <v>58</v>
      </c>
      <c r="D418" s="8">
        <v>1.67</v>
      </c>
      <c r="E418" s="4">
        <v>10</v>
      </c>
      <c r="F418" s="8">
        <v>0.54</v>
      </c>
      <c r="G418" s="4">
        <v>48</v>
      </c>
      <c r="H418" s="8">
        <v>2.99</v>
      </c>
      <c r="I418" s="4">
        <v>0</v>
      </c>
    </row>
    <row r="419" spans="1:9" x14ac:dyDescent="0.2">
      <c r="A419" s="2">
        <v>18</v>
      </c>
      <c r="B419" s="1" t="s">
        <v>117</v>
      </c>
      <c r="C419" s="4">
        <v>56</v>
      </c>
      <c r="D419" s="8">
        <v>1.61</v>
      </c>
      <c r="E419" s="4">
        <v>0</v>
      </c>
      <c r="F419" s="8">
        <v>0</v>
      </c>
      <c r="G419" s="4">
        <v>53</v>
      </c>
      <c r="H419" s="8">
        <v>3.31</v>
      </c>
      <c r="I419" s="4">
        <v>3</v>
      </c>
    </row>
    <row r="420" spans="1:9" x14ac:dyDescent="0.2">
      <c r="A420" s="2">
        <v>19</v>
      </c>
      <c r="B420" s="1" t="s">
        <v>101</v>
      </c>
      <c r="C420" s="4">
        <v>55</v>
      </c>
      <c r="D420" s="8">
        <v>1.58</v>
      </c>
      <c r="E420" s="4">
        <v>29</v>
      </c>
      <c r="F420" s="8">
        <v>1.55</v>
      </c>
      <c r="G420" s="4">
        <v>26</v>
      </c>
      <c r="H420" s="8">
        <v>1.62</v>
      </c>
      <c r="I420" s="4">
        <v>0</v>
      </c>
    </row>
    <row r="421" spans="1:9" x14ac:dyDescent="0.2">
      <c r="A421" s="2">
        <v>20</v>
      </c>
      <c r="B421" s="1" t="s">
        <v>120</v>
      </c>
      <c r="C421" s="4">
        <v>54</v>
      </c>
      <c r="D421" s="8">
        <v>1.55</v>
      </c>
      <c r="E421" s="4">
        <v>33</v>
      </c>
      <c r="F421" s="8">
        <v>1.77</v>
      </c>
      <c r="G421" s="4">
        <v>21</v>
      </c>
      <c r="H421" s="8">
        <v>1.31</v>
      </c>
      <c r="I421" s="4">
        <v>0</v>
      </c>
    </row>
    <row r="422" spans="1:9" x14ac:dyDescent="0.2">
      <c r="A422" s="2">
        <v>20</v>
      </c>
      <c r="B422" s="1" t="s">
        <v>102</v>
      </c>
      <c r="C422" s="4">
        <v>54</v>
      </c>
      <c r="D422" s="8">
        <v>1.55</v>
      </c>
      <c r="E422" s="4">
        <v>17</v>
      </c>
      <c r="F422" s="8">
        <v>0.91</v>
      </c>
      <c r="G422" s="4">
        <v>37</v>
      </c>
      <c r="H422" s="8">
        <v>2.31</v>
      </c>
      <c r="I422" s="4">
        <v>0</v>
      </c>
    </row>
    <row r="423" spans="1:9" x14ac:dyDescent="0.2">
      <c r="A423" s="1"/>
      <c r="C423" s="4"/>
      <c r="D423" s="8"/>
      <c r="E423" s="4"/>
      <c r="F423" s="8"/>
      <c r="G423" s="4"/>
      <c r="H423" s="8"/>
      <c r="I423" s="4"/>
    </row>
    <row r="424" spans="1:9" x14ac:dyDescent="0.2">
      <c r="A424" s="1" t="s">
        <v>19</v>
      </c>
      <c r="C424" s="4"/>
      <c r="D424" s="8"/>
      <c r="E424" s="4"/>
      <c r="F424" s="8"/>
      <c r="G424" s="4"/>
      <c r="H424" s="8"/>
      <c r="I424" s="4"/>
    </row>
    <row r="425" spans="1:9" x14ac:dyDescent="0.2">
      <c r="A425" s="2">
        <v>1</v>
      </c>
      <c r="B425" s="1" t="s">
        <v>113</v>
      </c>
      <c r="C425" s="4">
        <v>358</v>
      </c>
      <c r="D425" s="8">
        <v>13.63</v>
      </c>
      <c r="E425" s="4">
        <v>330</v>
      </c>
      <c r="F425" s="8">
        <v>21.36</v>
      </c>
      <c r="G425" s="4">
        <v>28</v>
      </c>
      <c r="H425" s="8">
        <v>2.6</v>
      </c>
      <c r="I425" s="4">
        <v>0</v>
      </c>
    </row>
    <row r="426" spans="1:9" x14ac:dyDescent="0.2">
      <c r="A426" s="2">
        <v>2</v>
      </c>
      <c r="B426" s="1" t="s">
        <v>110</v>
      </c>
      <c r="C426" s="4">
        <v>356</v>
      </c>
      <c r="D426" s="8">
        <v>13.55</v>
      </c>
      <c r="E426" s="4">
        <v>198</v>
      </c>
      <c r="F426" s="8">
        <v>12.82</v>
      </c>
      <c r="G426" s="4">
        <v>158</v>
      </c>
      <c r="H426" s="8">
        <v>14.66</v>
      </c>
      <c r="I426" s="4">
        <v>0</v>
      </c>
    </row>
    <row r="427" spans="1:9" x14ac:dyDescent="0.2">
      <c r="A427" s="2">
        <v>3</v>
      </c>
      <c r="B427" s="1" t="s">
        <v>114</v>
      </c>
      <c r="C427" s="4">
        <v>217</v>
      </c>
      <c r="D427" s="8">
        <v>8.26</v>
      </c>
      <c r="E427" s="4">
        <v>195</v>
      </c>
      <c r="F427" s="8">
        <v>12.62</v>
      </c>
      <c r="G427" s="4">
        <v>22</v>
      </c>
      <c r="H427" s="8">
        <v>2.04</v>
      </c>
      <c r="I427" s="4">
        <v>0</v>
      </c>
    </row>
    <row r="428" spans="1:9" x14ac:dyDescent="0.2">
      <c r="A428" s="2">
        <v>4</v>
      </c>
      <c r="B428" s="1" t="s">
        <v>108</v>
      </c>
      <c r="C428" s="4">
        <v>193</v>
      </c>
      <c r="D428" s="8">
        <v>7.35</v>
      </c>
      <c r="E428" s="4">
        <v>128</v>
      </c>
      <c r="F428" s="8">
        <v>8.2799999999999994</v>
      </c>
      <c r="G428" s="4">
        <v>65</v>
      </c>
      <c r="H428" s="8">
        <v>6.03</v>
      </c>
      <c r="I428" s="4">
        <v>0</v>
      </c>
    </row>
    <row r="429" spans="1:9" x14ac:dyDescent="0.2">
      <c r="A429" s="2">
        <v>5</v>
      </c>
      <c r="B429" s="1" t="s">
        <v>106</v>
      </c>
      <c r="C429" s="4">
        <v>153</v>
      </c>
      <c r="D429" s="8">
        <v>5.82</v>
      </c>
      <c r="E429" s="4">
        <v>125</v>
      </c>
      <c r="F429" s="8">
        <v>8.09</v>
      </c>
      <c r="G429" s="4">
        <v>28</v>
      </c>
      <c r="H429" s="8">
        <v>2.6</v>
      </c>
      <c r="I429" s="4">
        <v>0</v>
      </c>
    </row>
    <row r="430" spans="1:9" x14ac:dyDescent="0.2">
      <c r="A430" s="2">
        <v>6</v>
      </c>
      <c r="B430" s="1" t="s">
        <v>116</v>
      </c>
      <c r="C430" s="4">
        <v>94</v>
      </c>
      <c r="D430" s="8">
        <v>3.58</v>
      </c>
      <c r="E430" s="4">
        <v>85</v>
      </c>
      <c r="F430" s="8">
        <v>5.5</v>
      </c>
      <c r="G430" s="4">
        <v>9</v>
      </c>
      <c r="H430" s="8">
        <v>0.83</v>
      </c>
      <c r="I430" s="4">
        <v>0</v>
      </c>
    </row>
    <row r="431" spans="1:9" x14ac:dyDescent="0.2">
      <c r="A431" s="2">
        <v>7</v>
      </c>
      <c r="B431" s="1" t="s">
        <v>105</v>
      </c>
      <c r="C431" s="4">
        <v>83</v>
      </c>
      <c r="D431" s="8">
        <v>3.16</v>
      </c>
      <c r="E431" s="4">
        <v>70</v>
      </c>
      <c r="F431" s="8">
        <v>4.53</v>
      </c>
      <c r="G431" s="4">
        <v>13</v>
      </c>
      <c r="H431" s="8">
        <v>1.21</v>
      </c>
      <c r="I431" s="4">
        <v>0</v>
      </c>
    </row>
    <row r="432" spans="1:9" x14ac:dyDescent="0.2">
      <c r="A432" s="2">
        <v>8</v>
      </c>
      <c r="B432" s="1" t="s">
        <v>101</v>
      </c>
      <c r="C432" s="4">
        <v>77</v>
      </c>
      <c r="D432" s="8">
        <v>2.93</v>
      </c>
      <c r="E432" s="4">
        <v>26</v>
      </c>
      <c r="F432" s="8">
        <v>1.68</v>
      </c>
      <c r="G432" s="4">
        <v>51</v>
      </c>
      <c r="H432" s="8">
        <v>4.7300000000000004</v>
      </c>
      <c r="I432" s="4">
        <v>0</v>
      </c>
    </row>
    <row r="433" spans="1:9" x14ac:dyDescent="0.2">
      <c r="A433" s="2">
        <v>9</v>
      </c>
      <c r="B433" s="1" t="s">
        <v>98</v>
      </c>
      <c r="C433" s="4">
        <v>74</v>
      </c>
      <c r="D433" s="8">
        <v>2.82</v>
      </c>
      <c r="E433" s="4">
        <v>15</v>
      </c>
      <c r="F433" s="8">
        <v>0.97</v>
      </c>
      <c r="G433" s="4">
        <v>59</v>
      </c>
      <c r="H433" s="8">
        <v>5.47</v>
      </c>
      <c r="I433" s="4">
        <v>0</v>
      </c>
    </row>
    <row r="434" spans="1:9" x14ac:dyDescent="0.2">
      <c r="A434" s="2">
        <v>10</v>
      </c>
      <c r="B434" s="1" t="s">
        <v>117</v>
      </c>
      <c r="C434" s="4">
        <v>69</v>
      </c>
      <c r="D434" s="8">
        <v>2.63</v>
      </c>
      <c r="E434" s="4">
        <v>0</v>
      </c>
      <c r="F434" s="8">
        <v>0</v>
      </c>
      <c r="G434" s="4">
        <v>67</v>
      </c>
      <c r="H434" s="8">
        <v>6.22</v>
      </c>
      <c r="I434" s="4">
        <v>2</v>
      </c>
    </row>
    <row r="435" spans="1:9" x14ac:dyDescent="0.2">
      <c r="A435" s="2">
        <v>11</v>
      </c>
      <c r="B435" s="1" t="s">
        <v>99</v>
      </c>
      <c r="C435" s="4">
        <v>66</v>
      </c>
      <c r="D435" s="8">
        <v>2.5099999999999998</v>
      </c>
      <c r="E435" s="4">
        <v>19</v>
      </c>
      <c r="F435" s="8">
        <v>1.23</v>
      </c>
      <c r="G435" s="4">
        <v>47</v>
      </c>
      <c r="H435" s="8">
        <v>4.3600000000000003</v>
      </c>
      <c r="I435" s="4">
        <v>0</v>
      </c>
    </row>
    <row r="436" spans="1:9" x14ac:dyDescent="0.2">
      <c r="A436" s="2">
        <v>12</v>
      </c>
      <c r="B436" s="1" t="s">
        <v>107</v>
      </c>
      <c r="C436" s="4">
        <v>63</v>
      </c>
      <c r="D436" s="8">
        <v>2.4</v>
      </c>
      <c r="E436" s="4">
        <v>37</v>
      </c>
      <c r="F436" s="8">
        <v>2.39</v>
      </c>
      <c r="G436" s="4">
        <v>26</v>
      </c>
      <c r="H436" s="8">
        <v>2.41</v>
      </c>
      <c r="I436" s="4">
        <v>0</v>
      </c>
    </row>
    <row r="437" spans="1:9" x14ac:dyDescent="0.2">
      <c r="A437" s="2">
        <v>13</v>
      </c>
      <c r="B437" s="1" t="s">
        <v>100</v>
      </c>
      <c r="C437" s="4">
        <v>55</v>
      </c>
      <c r="D437" s="8">
        <v>2.09</v>
      </c>
      <c r="E437" s="4">
        <v>14</v>
      </c>
      <c r="F437" s="8">
        <v>0.91</v>
      </c>
      <c r="G437" s="4">
        <v>41</v>
      </c>
      <c r="H437" s="8">
        <v>3.8</v>
      </c>
      <c r="I437" s="4">
        <v>0</v>
      </c>
    </row>
    <row r="438" spans="1:9" x14ac:dyDescent="0.2">
      <c r="A438" s="2">
        <v>14</v>
      </c>
      <c r="B438" s="1" t="s">
        <v>136</v>
      </c>
      <c r="C438" s="4">
        <v>51</v>
      </c>
      <c r="D438" s="8">
        <v>1.94</v>
      </c>
      <c r="E438" s="4">
        <v>36</v>
      </c>
      <c r="F438" s="8">
        <v>2.33</v>
      </c>
      <c r="G438" s="4">
        <v>15</v>
      </c>
      <c r="H438" s="8">
        <v>1.39</v>
      </c>
      <c r="I438" s="4">
        <v>0</v>
      </c>
    </row>
    <row r="439" spans="1:9" x14ac:dyDescent="0.2">
      <c r="A439" s="2">
        <v>15</v>
      </c>
      <c r="B439" s="1" t="s">
        <v>102</v>
      </c>
      <c r="C439" s="4">
        <v>47</v>
      </c>
      <c r="D439" s="8">
        <v>1.79</v>
      </c>
      <c r="E439" s="4">
        <v>14</v>
      </c>
      <c r="F439" s="8">
        <v>0.91</v>
      </c>
      <c r="G439" s="4">
        <v>33</v>
      </c>
      <c r="H439" s="8">
        <v>3.06</v>
      </c>
      <c r="I439" s="4">
        <v>0</v>
      </c>
    </row>
    <row r="440" spans="1:9" x14ac:dyDescent="0.2">
      <c r="A440" s="2">
        <v>16</v>
      </c>
      <c r="B440" s="1" t="s">
        <v>127</v>
      </c>
      <c r="C440" s="4">
        <v>40</v>
      </c>
      <c r="D440" s="8">
        <v>1.52</v>
      </c>
      <c r="E440" s="4">
        <v>8</v>
      </c>
      <c r="F440" s="8">
        <v>0.52</v>
      </c>
      <c r="G440" s="4">
        <v>32</v>
      </c>
      <c r="H440" s="8">
        <v>2.97</v>
      </c>
      <c r="I440" s="4">
        <v>0</v>
      </c>
    </row>
    <row r="441" spans="1:9" x14ac:dyDescent="0.2">
      <c r="A441" s="2">
        <v>17</v>
      </c>
      <c r="B441" s="1" t="s">
        <v>109</v>
      </c>
      <c r="C441" s="4">
        <v>39</v>
      </c>
      <c r="D441" s="8">
        <v>1.48</v>
      </c>
      <c r="E441" s="4">
        <v>13</v>
      </c>
      <c r="F441" s="8">
        <v>0.84</v>
      </c>
      <c r="G441" s="4">
        <v>26</v>
      </c>
      <c r="H441" s="8">
        <v>2.41</v>
      </c>
      <c r="I441" s="4">
        <v>0</v>
      </c>
    </row>
    <row r="442" spans="1:9" x14ac:dyDescent="0.2">
      <c r="A442" s="2">
        <v>18</v>
      </c>
      <c r="B442" s="1" t="s">
        <v>137</v>
      </c>
      <c r="C442" s="4">
        <v>36</v>
      </c>
      <c r="D442" s="8">
        <v>1.37</v>
      </c>
      <c r="E442" s="4">
        <v>12</v>
      </c>
      <c r="F442" s="8">
        <v>0.78</v>
      </c>
      <c r="G442" s="4">
        <v>24</v>
      </c>
      <c r="H442" s="8">
        <v>2.23</v>
      </c>
      <c r="I442" s="4">
        <v>0</v>
      </c>
    </row>
    <row r="443" spans="1:9" x14ac:dyDescent="0.2">
      <c r="A443" s="2">
        <v>18</v>
      </c>
      <c r="B443" s="1" t="s">
        <v>130</v>
      </c>
      <c r="C443" s="4">
        <v>36</v>
      </c>
      <c r="D443" s="8">
        <v>1.37</v>
      </c>
      <c r="E443" s="4">
        <v>20</v>
      </c>
      <c r="F443" s="8">
        <v>1.29</v>
      </c>
      <c r="G443" s="4">
        <v>16</v>
      </c>
      <c r="H443" s="8">
        <v>1.48</v>
      </c>
      <c r="I443" s="4">
        <v>0</v>
      </c>
    </row>
    <row r="444" spans="1:9" x14ac:dyDescent="0.2">
      <c r="A444" s="2">
        <v>20</v>
      </c>
      <c r="B444" s="1" t="s">
        <v>104</v>
      </c>
      <c r="C444" s="4">
        <v>35</v>
      </c>
      <c r="D444" s="8">
        <v>1.33</v>
      </c>
      <c r="E444" s="4">
        <v>12</v>
      </c>
      <c r="F444" s="8">
        <v>0.78</v>
      </c>
      <c r="G444" s="4">
        <v>23</v>
      </c>
      <c r="H444" s="8">
        <v>2.13</v>
      </c>
      <c r="I444" s="4">
        <v>0</v>
      </c>
    </row>
    <row r="445" spans="1:9" x14ac:dyDescent="0.2">
      <c r="A445" s="1"/>
      <c r="C445" s="4"/>
      <c r="D445" s="8"/>
      <c r="E445" s="4"/>
      <c r="F445" s="8"/>
      <c r="G445" s="4"/>
      <c r="H445" s="8"/>
      <c r="I445" s="4"/>
    </row>
    <row r="446" spans="1:9" x14ac:dyDescent="0.2">
      <c r="A446" s="1" t="s">
        <v>20</v>
      </c>
      <c r="C446" s="4"/>
      <c r="D446" s="8"/>
      <c r="E446" s="4"/>
      <c r="F446" s="8"/>
      <c r="G446" s="4"/>
      <c r="H446" s="8"/>
      <c r="I446" s="4"/>
    </row>
    <row r="447" spans="1:9" x14ac:dyDescent="0.2">
      <c r="A447" s="2">
        <v>1</v>
      </c>
      <c r="B447" s="1" t="s">
        <v>113</v>
      </c>
      <c r="C447" s="4">
        <v>745</v>
      </c>
      <c r="D447" s="8">
        <v>11.7</v>
      </c>
      <c r="E447" s="4">
        <v>644</v>
      </c>
      <c r="F447" s="8">
        <v>26.62</v>
      </c>
      <c r="G447" s="4">
        <v>101</v>
      </c>
      <c r="H447" s="8">
        <v>2.57</v>
      </c>
      <c r="I447" s="4">
        <v>0</v>
      </c>
    </row>
    <row r="448" spans="1:9" x14ac:dyDescent="0.2">
      <c r="A448" s="2">
        <v>2</v>
      </c>
      <c r="B448" s="1" t="s">
        <v>110</v>
      </c>
      <c r="C448" s="4">
        <v>580</v>
      </c>
      <c r="D448" s="8">
        <v>9.11</v>
      </c>
      <c r="E448" s="4">
        <v>184</v>
      </c>
      <c r="F448" s="8">
        <v>7.61</v>
      </c>
      <c r="G448" s="4">
        <v>392</v>
      </c>
      <c r="H448" s="8">
        <v>9.9700000000000006</v>
      </c>
      <c r="I448" s="4">
        <v>4</v>
      </c>
    </row>
    <row r="449" spans="1:9" x14ac:dyDescent="0.2">
      <c r="A449" s="2">
        <v>3</v>
      </c>
      <c r="B449" s="1" t="s">
        <v>111</v>
      </c>
      <c r="C449" s="4">
        <v>405</v>
      </c>
      <c r="D449" s="8">
        <v>6.36</v>
      </c>
      <c r="E449" s="4">
        <v>236</v>
      </c>
      <c r="F449" s="8">
        <v>9.76</v>
      </c>
      <c r="G449" s="4">
        <v>168</v>
      </c>
      <c r="H449" s="8">
        <v>4.2699999999999996</v>
      </c>
      <c r="I449" s="4">
        <v>1</v>
      </c>
    </row>
    <row r="450" spans="1:9" x14ac:dyDescent="0.2">
      <c r="A450" s="2">
        <v>4</v>
      </c>
      <c r="B450" s="1" t="s">
        <v>103</v>
      </c>
      <c r="C450" s="4">
        <v>374</v>
      </c>
      <c r="D450" s="8">
        <v>5.87</v>
      </c>
      <c r="E450" s="4">
        <v>7</v>
      </c>
      <c r="F450" s="8">
        <v>0.28999999999999998</v>
      </c>
      <c r="G450" s="4">
        <v>367</v>
      </c>
      <c r="H450" s="8">
        <v>9.33</v>
      </c>
      <c r="I450" s="4">
        <v>0</v>
      </c>
    </row>
    <row r="451" spans="1:9" x14ac:dyDescent="0.2">
      <c r="A451" s="2">
        <v>5</v>
      </c>
      <c r="B451" s="1" t="s">
        <v>114</v>
      </c>
      <c r="C451" s="4">
        <v>338</v>
      </c>
      <c r="D451" s="8">
        <v>5.31</v>
      </c>
      <c r="E451" s="4">
        <v>282</v>
      </c>
      <c r="F451" s="8">
        <v>11.66</v>
      </c>
      <c r="G451" s="4">
        <v>56</v>
      </c>
      <c r="H451" s="8">
        <v>1.42</v>
      </c>
      <c r="I451" s="4">
        <v>0</v>
      </c>
    </row>
    <row r="452" spans="1:9" x14ac:dyDescent="0.2">
      <c r="A452" s="2">
        <v>6</v>
      </c>
      <c r="B452" s="1" t="s">
        <v>108</v>
      </c>
      <c r="C452" s="4">
        <v>253</v>
      </c>
      <c r="D452" s="8">
        <v>3.97</v>
      </c>
      <c r="E452" s="4">
        <v>147</v>
      </c>
      <c r="F452" s="8">
        <v>6.08</v>
      </c>
      <c r="G452" s="4">
        <v>106</v>
      </c>
      <c r="H452" s="8">
        <v>2.7</v>
      </c>
      <c r="I452" s="4">
        <v>0</v>
      </c>
    </row>
    <row r="453" spans="1:9" x14ac:dyDescent="0.2">
      <c r="A453" s="2">
        <v>7</v>
      </c>
      <c r="B453" s="1" t="s">
        <v>116</v>
      </c>
      <c r="C453" s="4">
        <v>207</v>
      </c>
      <c r="D453" s="8">
        <v>3.25</v>
      </c>
      <c r="E453" s="4">
        <v>173</v>
      </c>
      <c r="F453" s="8">
        <v>7.15</v>
      </c>
      <c r="G453" s="4">
        <v>34</v>
      </c>
      <c r="H453" s="8">
        <v>0.86</v>
      </c>
      <c r="I453" s="4">
        <v>0</v>
      </c>
    </row>
    <row r="454" spans="1:9" x14ac:dyDescent="0.2">
      <c r="A454" s="2">
        <v>8</v>
      </c>
      <c r="B454" s="1" t="s">
        <v>100</v>
      </c>
      <c r="C454" s="4">
        <v>205</v>
      </c>
      <c r="D454" s="8">
        <v>3.22</v>
      </c>
      <c r="E454" s="4">
        <v>17</v>
      </c>
      <c r="F454" s="8">
        <v>0.7</v>
      </c>
      <c r="G454" s="4">
        <v>188</v>
      </c>
      <c r="H454" s="8">
        <v>4.78</v>
      </c>
      <c r="I454" s="4">
        <v>0</v>
      </c>
    </row>
    <row r="455" spans="1:9" x14ac:dyDescent="0.2">
      <c r="A455" s="2">
        <v>9</v>
      </c>
      <c r="B455" s="1" t="s">
        <v>106</v>
      </c>
      <c r="C455" s="4">
        <v>200</v>
      </c>
      <c r="D455" s="8">
        <v>3.14</v>
      </c>
      <c r="E455" s="4">
        <v>124</v>
      </c>
      <c r="F455" s="8">
        <v>5.13</v>
      </c>
      <c r="G455" s="4">
        <v>76</v>
      </c>
      <c r="H455" s="8">
        <v>1.93</v>
      </c>
      <c r="I455" s="4">
        <v>0</v>
      </c>
    </row>
    <row r="456" spans="1:9" x14ac:dyDescent="0.2">
      <c r="A456" s="2">
        <v>10</v>
      </c>
      <c r="B456" s="1" t="s">
        <v>112</v>
      </c>
      <c r="C456" s="4">
        <v>196</v>
      </c>
      <c r="D456" s="8">
        <v>3.08</v>
      </c>
      <c r="E456" s="4">
        <v>49</v>
      </c>
      <c r="F456" s="8">
        <v>2.0299999999999998</v>
      </c>
      <c r="G456" s="4">
        <v>147</v>
      </c>
      <c r="H456" s="8">
        <v>3.74</v>
      </c>
      <c r="I456" s="4">
        <v>0</v>
      </c>
    </row>
    <row r="457" spans="1:9" x14ac:dyDescent="0.2">
      <c r="A457" s="2">
        <v>11</v>
      </c>
      <c r="B457" s="1" t="s">
        <v>104</v>
      </c>
      <c r="C457" s="4">
        <v>185</v>
      </c>
      <c r="D457" s="8">
        <v>2.9</v>
      </c>
      <c r="E457" s="4">
        <v>8</v>
      </c>
      <c r="F457" s="8">
        <v>0.33</v>
      </c>
      <c r="G457" s="4">
        <v>177</v>
      </c>
      <c r="H457" s="8">
        <v>4.5</v>
      </c>
      <c r="I457" s="4">
        <v>0</v>
      </c>
    </row>
    <row r="458" spans="1:9" x14ac:dyDescent="0.2">
      <c r="A458" s="2">
        <v>12</v>
      </c>
      <c r="B458" s="1" t="s">
        <v>99</v>
      </c>
      <c r="C458" s="4">
        <v>176</v>
      </c>
      <c r="D458" s="8">
        <v>2.76</v>
      </c>
      <c r="E458" s="4">
        <v>24</v>
      </c>
      <c r="F458" s="8">
        <v>0.99</v>
      </c>
      <c r="G458" s="4">
        <v>152</v>
      </c>
      <c r="H458" s="8">
        <v>3.86</v>
      </c>
      <c r="I458" s="4">
        <v>0</v>
      </c>
    </row>
    <row r="459" spans="1:9" x14ac:dyDescent="0.2">
      <c r="A459" s="2">
        <v>13</v>
      </c>
      <c r="B459" s="1" t="s">
        <v>98</v>
      </c>
      <c r="C459" s="4">
        <v>171</v>
      </c>
      <c r="D459" s="8">
        <v>2.68</v>
      </c>
      <c r="E459" s="4">
        <v>16</v>
      </c>
      <c r="F459" s="8">
        <v>0.66</v>
      </c>
      <c r="G459" s="4">
        <v>155</v>
      </c>
      <c r="H459" s="8">
        <v>3.94</v>
      </c>
      <c r="I459" s="4">
        <v>0</v>
      </c>
    </row>
    <row r="460" spans="1:9" x14ac:dyDescent="0.2">
      <c r="A460" s="2">
        <v>14</v>
      </c>
      <c r="B460" s="1" t="s">
        <v>109</v>
      </c>
      <c r="C460" s="4">
        <v>155</v>
      </c>
      <c r="D460" s="8">
        <v>2.4300000000000002</v>
      </c>
      <c r="E460" s="4">
        <v>17</v>
      </c>
      <c r="F460" s="8">
        <v>0.7</v>
      </c>
      <c r="G460" s="4">
        <v>138</v>
      </c>
      <c r="H460" s="8">
        <v>3.51</v>
      </c>
      <c r="I460" s="4">
        <v>0</v>
      </c>
    </row>
    <row r="461" spans="1:9" x14ac:dyDescent="0.2">
      <c r="A461" s="2">
        <v>15</v>
      </c>
      <c r="B461" s="1" t="s">
        <v>102</v>
      </c>
      <c r="C461" s="4">
        <v>154</v>
      </c>
      <c r="D461" s="8">
        <v>2.42</v>
      </c>
      <c r="E461" s="4">
        <v>8</v>
      </c>
      <c r="F461" s="8">
        <v>0.33</v>
      </c>
      <c r="G461" s="4">
        <v>146</v>
      </c>
      <c r="H461" s="8">
        <v>3.71</v>
      </c>
      <c r="I461" s="4">
        <v>0</v>
      </c>
    </row>
    <row r="462" spans="1:9" x14ac:dyDescent="0.2">
      <c r="A462" s="2">
        <v>16</v>
      </c>
      <c r="B462" s="1" t="s">
        <v>125</v>
      </c>
      <c r="C462" s="4">
        <v>149</v>
      </c>
      <c r="D462" s="8">
        <v>2.34</v>
      </c>
      <c r="E462" s="4">
        <v>6</v>
      </c>
      <c r="F462" s="8">
        <v>0.25</v>
      </c>
      <c r="G462" s="4">
        <v>143</v>
      </c>
      <c r="H462" s="8">
        <v>3.64</v>
      </c>
      <c r="I462" s="4">
        <v>0</v>
      </c>
    </row>
    <row r="463" spans="1:9" x14ac:dyDescent="0.2">
      <c r="A463" s="2">
        <v>17</v>
      </c>
      <c r="B463" s="1" t="s">
        <v>101</v>
      </c>
      <c r="C463" s="4">
        <v>146</v>
      </c>
      <c r="D463" s="8">
        <v>2.29</v>
      </c>
      <c r="E463" s="4">
        <v>45</v>
      </c>
      <c r="F463" s="8">
        <v>1.86</v>
      </c>
      <c r="G463" s="4">
        <v>101</v>
      </c>
      <c r="H463" s="8">
        <v>2.57</v>
      </c>
      <c r="I463" s="4">
        <v>0</v>
      </c>
    </row>
    <row r="464" spans="1:9" x14ac:dyDescent="0.2">
      <c r="A464" s="2">
        <v>18</v>
      </c>
      <c r="B464" s="1" t="s">
        <v>115</v>
      </c>
      <c r="C464" s="4">
        <v>135</v>
      </c>
      <c r="D464" s="8">
        <v>2.12</v>
      </c>
      <c r="E464" s="4">
        <v>81</v>
      </c>
      <c r="F464" s="8">
        <v>3.35</v>
      </c>
      <c r="G464" s="4">
        <v>53</v>
      </c>
      <c r="H464" s="8">
        <v>1.35</v>
      </c>
      <c r="I464" s="4">
        <v>0</v>
      </c>
    </row>
    <row r="465" spans="1:9" x14ac:dyDescent="0.2">
      <c r="A465" s="2">
        <v>18</v>
      </c>
      <c r="B465" s="1" t="s">
        <v>119</v>
      </c>
      <c r="C465" s="4">
        <v>135</v>
      </c>
      <c r="D465" s="8">
        <v>2.12</v>
      </c>
      <c r="E465" s="4">
        <v>10</v>
      </c>
      <c r="F465" s="8">
        <v>0.41</v>
      </c>
      <c r="G465" s="4">
        <v>118</v>
      </c>
      <c r="H465" s="8">
        <v>3</v>
      </c>
      <c r="I465" s="4">
        <v>7</v>
      </c>
    </row>
    <row r="466" spans="1:9" x14ac:dyDescent="0.2">
      <c r="A466" s="2">
        <v>20</v>
      </c>
      <c r="B466" s="1" t="s">
        <v>127</v>
      </c>
      <c r="C466" s="4">
        <v>103</v>
      </c>
      <c r="D466" s="8">
        <v>1.62</v>
      </c>
      <c r="E466" s="4">
        <v>30</v>
      </c>
      <c r="F466" s="8">
        <v>1.24</v>
      </c>
      <c r="G466" s="4">
        <v>73</v>
      </c>
      <c r="H466" s="8">
        <v>1.86</v>
      </c>
      <c r="I466" s="4">
        <v>0</v>
      </c>
    </row>
    <row r="467" spans="1:9" x14ac:dyDescent="0.2">
      <c r="A467" s="1"/>
      <c r="C467" s="4"/>
      <c r="D467" s="8"/>
      <c r="E467" s="4"/>
      <c r="F467" s="8"/>
      <c r="G467" s="4"/>
      <c r="H467" s="8"/>
      <c r="I467" s="4"/>
    </row>
    <row r="468" spans="1:9" x14ac:dyDescent="0.2">
      <c r="A468" s="1" t="s">
        <v>21</v>
      </c>
      <c r="C468" s="4"/>
      <c r="D468" s="8"/>
      <c r="E468" s="4"/>
      <c r="F468" s="8"/>
      <c r="G468" s="4"/>
      <c r="H468" s="8"/>
      <c r="I468" s="4"/>
    </row>
    <row r="469" spans="1:9" x14ac:dyDescent="0.2">
      <c r="A469" s="2">
        <v>1</v>
      </c>
      <c r="B469" s="1" t="s">
        <v>110</v>
      </c>
      <c r="C469" s="4">
        <v>346</v>
      </c>
      <c r="D469" s="8">
        <v>16.239999999999998</v>
      </c>
      <c r="E469" s="4">
        <v>137</v>
      </c>
      <c r="F469" s="8">
        <v>14.39</v>
      </c>
      <c r="G469" s="4">
        <v>207</v>
      </c>
      <c r="H469" s="8">
        <v>17.68</v>
      </c>
      <c r="I469" s="4">
        <v>2</v>
      </c>
    </row>
    <row r="470" spans="1:9" x14ac:dyDescent="0.2">
      <c r="A470" s="2">
        <v>2</v>
      </c>
      <c r="B470" s="1" t="s">
        <v>114</v>
      </c>
      <c r="C470" s="4">
        <v>175</v>
      </c>
      <c r="D470" s="8">
        <v>8.2200000000000006</v>
      </c>
      <c r="E470" s="4">
        <v>147</v>
      </c>
      <c r="F470" s="8">
        <v>15.44</v>
      </c>
      <c r="G470" s="4">
        <v>28</v>
      </c>
      <c r="H470" s="8">
        <v>2.39</v>
      </c>
      <c r="I470" s="4">
        <v>0</v>
      </c>
    </row>
    <row r="471" spans="1:9" x14ac:dyDescent="0.2">
      <c r="A471" s="2">
        <v>3</v>
      </c>
      <c r="B471" s="1" t="s">
        <v>113</v>
      </c>
      <c r="C471" s="4">
        <v>163</v>
      </c>
      <c r="D471" s="8">
        <v>7.65</v>
      </c>
      <c r="E471" s="4">
        <v>149</v>
      </c>
      <c r="F471" s="8">
        <v>15.65</v>
      </c>
      <c r="G471" s="4">
        <v>14</v>
      </c>
      <c r="H471" s="8">
        <v>1.2</v>
      </c>
      <c r="I471" s="4">
        <v>0</v>
      </c>
    </row>
    <row r="472" spans="1:9" x14ac:dyDescent="0.2">
      <c r="A472" s="2">
        <v>4</v>
      </c>
      <c r="B472" s="1" t="s">
        <v>98</v>
      </c>
      <c r="C472" s="4">
        <v>114</v>
      </c>
      <c r="D472" s="8">
        <v>5.35</v>
      </c>
      <c r="E472" s="4">
        <v>17</v>
      </c>
      <c r="F472" s="8">
        <v>1.79</v>
      </c>
      <c r="G472" s="4">
        <v>97</v>
      </c>
      <c r="H472" s="8">
        <v>8.2799999999999994</v>
      </c>
      <c r="I472" s="4">
        <v>0</v>
      </c>
    </row>
    <row r="473" spans="1:9" x14ac:dyDescent="0.2">
      <c r="A473" s="2">
        <v>5</v>
      </c>
      <c r="B473" s="1" t="s">
        <v>108</v>
      </c>
      <c r="C473" s="4">
        <v>112</v>
      </c>
      <c r="D473" s="8">
        <v>5.26</v>
      </c>
      <c r="E473" s="4">
        <v>64</v>
      </c>
      <c r="F473" s="8">
        <v>6.72</v>
      </c>
      <c r="G473" s="4">
        <v>48</v>
      </c>
      <c r="H473" s="8">
        <v>4.0999999999999996</v>
      </c>
      <c r="I473" s="4">
        <v>0</v>
      </c>
    </row>
    <row r="474" spans="1:9" x14ac:dyDescent="0.2">
      <c r="A474" s="2">
        <v>6</v>
      </c>
      <c r="B474" s="1" t="s">
        <v>100</v>
      </c>
      <c r="C474" s="4">
        <v>91</v>
      </c>
      <c r="D474" s="8">
        <v>4.2699999999999996</v>
      </c>
      <c r="E474" s="4">
        <v>14</v>
      </c>
      <c r="F474" s="8">
        <v>1.47</v>
      </c>
      <c r="G474" s="4">
        <v>77</v>
      </c>
      <c r="H474" s="8">
        <v>6.58</v>
      </c>
      <c r="I474" s="4">
        <v>0</v>
      </c>
    </row>
    <row r="475" spans="1:9" x14ac:dyDescent="0.2">
      <c r="A475" s="2">
        <v>7</v>
      </c>
      <c r="B475" s="1" t="s">
        <v>106</v>
      </c>
      <c r="C475" s="4">
        <v>78</v>
      </c>
      <c r="D475" s="8">
        <v>3.66</v>
      </c>
      <c r="E475" s="4">
        <v>62</v>
      </c>
      <c r="F475" s="8">
        <v>6.51</v>
      </c>
      <c r="G475" s="4">
        <v>16</v>
      </c>
      <c r="H475" s="8">
        <v>1.37</v>
      </c>
      <c r="I475" s="4">
        <v>0</v>
      </c>
    </row>
    <row r="476" spans="1:9" x14ac:dyDescent="0.2">
      <c r="A476" s="2">
        <v>8</v>
      </c>
      <c r="B476" s="1" t="s">
        <v>116</v>
      </c>
      <c r="C476" s="4">
        <v>68</v>
      </c>
      <c r="D476" s="8">
        <v>3.19</v>
      </c>
      <c r="E476" s="4">
        <v>58</v>
      </c>
      <c r="F476" s="8">
        <v>6.09</v>
      </c>
      <c r="G476" s="4">
        <v>10</v>
      </c>
      <c r="H476" s="8">
        <v>0.85</v>
      </c>
      <c r="I476" s="4">
        <v>0</v>
      </c>
    </row>
    <row r="477" spans="1:9" x14ac:dyDescent="0.2">
      <c r="A477" s="2">
        <v>9</v>
      </c>
      <c r="B477" s="1" t="s">
        <v>99</v>
      </c>
      <c r="C477" s="4">
        <v>61</v>
      </c>
      <c r="D477" s="8">
        <v>2.86</v>
      </c>
      <c r="E477" s="4">
        <v>15</v>
      </c>
      <c r="F477" s="8">
        <v>1.58</v>
      </c>
      <c r="G477" s="4">
        <v>46</v>
      </c>
      <c r="H477" s="8">
        <v>3.93</v>
      </c>
      <c r="I477" s="4">
        <v>0</v>
      </c>
    </row>
    <row r="478" spans="1:9" x14ac:dyDescent="0.2">
      <c r="A478" s="2">
        <v>9</v>
      </c>
      <c r="B478" s="1" t="s">
        <v>101</v>
      </c>
      <c r="C478" s="4">
        <v>61</v>
      </c>
      <c r="D478" s="8">
        <v>2.86</v>
      </c>
      <c r="E478" s="4">
        <v>20</v>
      </c>
      <c r="F478" s="8">
        <v>2.1</v>
      </c>
      <c r="G478" s="4">
        <v>41</v>
      </c>
      <c r="H478" s="8">
        <v>3.5</v>
      </c>
      <c r="I478" s="4">
        <v>0</v>
      </c>
    </row>
    <row r="479" spans="1:9" x14ac:dyDescent="0.2">
      <c r="A479" s="2">
        <v>11</v>
      </c>
      <c r="B479" s="1" t="s">
        <v>115</v>
      </c>
      <c r="C479" s="4">
        <v>58</v>
      </c>
      <c r="D479" s="8">
        <v>2.72</v>
      </c>
      <c r="E479" s="4">
        <v>42</v>
      </c>
      <c r="F479" s="8">
        <v>4.41</v>
      </c>
      <c r="G479" s="4">
        <v>14</v>
      </c>
      <c r="H479" s="8">
        <v>1.2</v>
      </c>
      <c r="I479" s="4">
        <v>1</v>
      </c>
    </row>
    <row r="480" spans="1:9" x14ac:dyDescent="0.2">
      <c r="A480" s="2">
        <v>12</v>
      </c>
      <c r="B480" s="1" t="s">
        <v>107</v>
      </c>
      <c r="C480" s="4">
        <v>55</v>
      </c>
      <c r="D480" s="8">
        <v>2.58</v>
      </c>
      <c r="E480" s="4">
        <v>23</v>
      </c>
      <c r="F480" s="8">
        <v>2.42</v>
      </c>
      <c r="G480" s="4">
        <v>32</v>
      </c>
      <c r="H480" s="8">
        <v>2.73</v>
      </c>
      <c r="I480" s="4">
        <v>0</v>
      </c>
    </row>
    <row r="481" spans="1:9" x14ac:dyDescent="0.2">
      <c r="A481" s="2">
        <v>13</v>
      </c>
      <c r="B481" s="1" t="s">
        <v>105</v>
      </c>
      <c r="C481" s="4">
        <v>47</v>
      </c>
      <c r="D481" s="8">
        <v>2.21</v>
      </c>
      <c r="E481" s="4">
        <v>15</v>
      </c>
      <c r="F481" s="8">
        <v>1.58</v>
      </c>
      <c r="G481" s="4">
        <v>32</v>
      </c>
      <c r="H481" s="8">
        <v>2.73</v>
      </c>
      <c r="I481" s="4">
        <v>0</v>
      </c>
    </row>
    <row r="482" spans="1:9" x14ac:dyDescent="0.2">
      <c r="A482" s="2">
        <v>14</v>
      </c>
      <c r="B482" s="1" t="s">
        <v>102</v>
      </c>
      <c r="C482" s="4">
        <v>42</v>
      </c>
      <c r="D482" s="8">
        <v>1.97</v>
      </c>
      <c r="E482" s="4">
        <v>7</v>
      </c>
      <c r="F482" s="8">
        <v>0.74</v>
      </c>
      <c r="G482" s="4">
        <v>35</v>
      </c>
      <c r="H482" s="8">
        <v>2.99</v>
      </c>
      <c r="I482" s="4">
        <v>0</v>
      </c>
    </row>
    <row r="483" spans="1:9" x14ac:dyDescent="0.2">
      <c r="A483" s="2">
        <v>15</v>
      </c>
      <c r="B483" s="1" t="s">
        <v>104</v>
      </c>
      <c r="C483" s="4">
        <v>39</v>
      </c>
      <c r="D483" s="8">
        <v>1.83</v>
      </c>
      <c r="E483" s="4">
        <v>7</v>
      </c>
      <c r="F483" s="8">
        <v>0.74</v>
      </c>
      <c r="G483" s="4">
        <v>32</v>
      </c>
      <c r="H483" s="8">
        <v>2.73</v>
      </c>
      <c r="I483" s="4">
        <v>0</v>
      </c>
    </row>
    <row r="484" spans="1:9" x14ac:dyDescent="0.2">
      <c r="A484" s="2">
        <v>16</v>
      </c>
      <c r="B484" s="1" t="s">
        <v>120</v>
      </c>
      <c r="C484" s="4">
        <v>37</v>
      </c>
      <c r="D484" s="8">
        <v>1.74</v>
      </c>
      <c r="E484" s="4">
        <v>22</v>
      </c>
      <c r="F484" s="8">
        <v>2.31</v>
      </c>
      <c r="G484" s="4">
        <v>15</v>
      </c>
      <c r="H484" s="8">
        <v>1.28</v>
      </c>
      <c r="I484" s="4">
        <v>0</v>
      </c>
    </row>
    <row r="485" spans="1:9" x14ac:dyDescent="0.2">
      <c r="A485" s="2">
        <v>17</v>
      </c>
      <c r="B485" s="1" t="s">
        <v>121</v>
      </c>
      <c r="C485" s="4">
        <v>36</v>
      </c>
      <c r="D485" s="8">
        <v>1.69</v>
      </c>
      <c r="E485" s="4">
        <v>7</v>
      </c>
      <c r="F485" s="8">
        <v>0.74</v>
      </c>
      <c r="G485" s="4">
        <v>29</v>
      </c>
      <c r="H485" s="8">
        <v>2.48</v>
      </c>
      <c r="I485" s="4">
        <v>0</v>
      </c>
    </row>
    <row r="486" spans="1:9" x14ac:dyDescent="0.2">
      <c r="A486" s="2">
        <v>18</v>
      </c>
      <c r="B486" s="1" t="s">
        <v>127</v>
      </c>
      <c r="C486" s="4">
        <v>35</v>
      </c>
      <c r="D486" s="8">
        <v>1.64</v>
      </c>
      <c r="E486" s="4">
        <v>11</v>
      </c>
      <c r="F486" s="8">
        <v>1.1599999999999999</v>
      </c>
      <c r="G486" s="4">
        <v>24</v>
      </c>
      <c r="H486" s="8">
        <v>2.0499999999999998</v>
      </c>
      <c r="I486" s="4">
        <v>0</v>
      </c>
    </row>
    <row r="487" spans="1:9" x14ac:dyDescent="0.2">
      <c r="A487" s="2">
        <v>19</v>
      </c>
      <c r="B487" s="1" t="s">
        <v>109</v>
      </c>
      <c r="C487" s="4">
        <v>31</v>
      </c>
      <c r="D487" s="8">
        <v>1.46</v>
      </c>
      <c r="E487" s="4">
        <v>5</v>
      </c>
      <c r="F487" s="8">
        <v>0.53</v>
      </c>
      <c r="G487" s="4">
        <v>26</v>
      </c>
      <c r="H487" s="8">
        <v>2.2200000000000002</v>
      </c>
      <c r="I487" s="4">
        <v>0</v>
      </c>
    </row>
    <row r="488" spans="1:9" x14ac:dyDescent="0.2">
      <c r="A488" s="2">
        <v>20</v>
      </c>
      <c r="B488" s="1" t="s">
        <v>130</v>
      </c>
      <c r="C488" s="4">
        <v>30</v>
      </c>
      <c r="D488" s="8">
        <v>1.41</v>
      </c>
      <c r="E488" s="4">
        <v>13</v>
      </c>
      <c r="F488" s="8">
        <v>1.37</v>
      </c>
      <c r="G488" s="4">
        <v>17</v>
      </c>
      <c r="H488" s="8">
        <v>1.45</v>
      </c>
      <c r="I488" s="4">
        <v>0</v>
      </c>
    </row>
    <row r="489" spans="1:9" x14ac:dyDescent="0.2">
      <c r="A489" s="1"/>
      <c r="C489" s="4"/>
      <c r="D489" s="8"/>
      <c r="E489" s="4"/>
      <c r="F489" s="8"/>
      <c r="G489" s="4"/>
      <c r="H489" s="8"/>
      <c r="I489" s="4"/>
    </row>
    <row r="490" spans="1:9" x14ac:dyDescent="0.2">
      <c r="A490" s="1" t="s">
        <v>22</v>
      </c>
      <c r="C490" s="4"/>
      <c r="D490" s="8"/>
      <c r="E490" s="4"/>
      <c r="F490" s="8"/>
      <c r="G490" s="4"/>
      <c r="H490" s="8"/>
      <c r="I490" s="4"/>
    </row>
    <row r="491" spans="1:9" x14ac:dyDescent="0.2">
      <c r="A491" s="2">
        <v>1</v>
      </c>
      <c r="B491" s="1" t="s">
        <v>113</v>
      </c>
      <c r="C491" s="4">
        <v>238</v>
      </c>
      <c r="D491" s="8">
        <v>9.75</v>
      </c>
      <c r="E491" s="4">
        <v>217</v>
      </c>
      <c r="F491" s="8">
        <v>18.940000000000001</v>
      </c>
      <c r="G491" s="4">
        <v>21</v>
      </c>
      <c r="H491" s="8">
        <v>1.63</v>
      </c>
      <c r="I491" s="4">
        <v>0</v>
      </c>
    </row>
    <row r="492" spans="1:9" x14ac:dyDescent="0.2">
      <c r="A492" s="2">
        <v>2</v>
      </c>
      <c r="B492" s="1" t="s">
        <v>110</v>
      </c>
      <c r="C492" s="4">
        <v>221</v>
      </c>
      <c r="D492" s="8">
        <v>9.06</v>
      </c>
      <c r="E492" s="4">
        <v>80</v>
      </c>
      <c r="F492" s="8">
        <v>6.98</v>
      </c>
      <c r="G492" s="4">
        <v>141</v>
      </c>
      <c r="H492" s="8">
        <v>10.91</v>
      </c>
      <c r="I492" s="4">
        <v>0</v>
      </c>
    </row>
    <row r="493" spans="1:9" x14ac:dyDescent="0.2">
      <c r="A493" s="2">
        <v>3</v>
      </c>
      <c r="B493" s="1" t="s">
        <v>114</v>
      </c>
      <c r="C493" s="4">
        <v>193</v>
      </c>
      <c r="D493" s="8">
        <v>7.91</v>
      </c>
      <c r="E493" s="4">
        <v>166</v>
      </c>
      <c r="F493" s="8">
        <v>14.49</v>
      </c>
      <c r="G493" s="4">
        <v>27</v>
      </c>
      <c r="H493" s="8">
        <v>2.09</v>
      </c>
      <c r="I493" s="4">
        <v>0</v>
      </c>
    </row>
    <row r="494" spans="1:9" x14ac:dyDescent="0.2">
      <c r="A494" s="2">
        <v>4</v>
      </c>
      <c r="B494" s="1" t="s">
        <v>108</v>
      </c>
      <c r="C494" s="4">
        <v>164</v>
      </c>
      <c r="D494" s="8">
        <v>6.72</v>
      </c>
      <c r="E494" s="4">
        <v>101</v>
      </c>
      <c r="F494" s="8">
        <v>8.81</v>
      </c>
      <c r="G494" s="4">
        <v>63</v>
      </c>
      <c r="H494" s="8">
        <v>4.88</v>
      </c>
      <c r="I494" s="4">
        <v>0</v>
      </c>
    </row>
    <row r="495" spans="1:9" x14ac:dyDescent="0.2">
      <c r="A495" s="2">
        <v>5</v>
      </c>
      <c r="B495" s="1" t="s">
        <v>106</v>
      </c>
      <c r="C495" s="4">
        <v>147</v>
      </c>
      <c r="D495" s="8">
        <v>6.02</v>
      </c>
      <c r="E495" s="4">
        <v>123</v>
      </c>
      <c r="F495" s="8">
        <v>10.73</v>
      </c>
      <c r="G495" s="4">
        <v>24</v>
      </c>
      <c r="H495" s="8">
        <v>1.86</v>
      </c>
      <c r="I495" s="4">
        <v>0</v>
      </c>
    </row>
    <row r="496" spans="1:9" x14ac:dyDescent="0.2">
      <c r="A496" s="2">
        <v>6</v>
      </c>
      <c r="B496" s="1" t="s">
        <v>116</v>
      </c>
      <c r="C496" s="4">
        <v>102</v>
      </c>
      <c r="D496" s="8">
        <v>4.18</v>
      </c>
      <c r="E496" s="4">
        <v>80</v>
      </c>
      <c r="F496" s="8">
        <v>6.98</v>
      </c>
      <c r="G496" s="4">
        <v>22</v>
      </c>
      <c r="H496" s="8">
        <v>1.7</v>
      </c>
      <c r="I496" s="4">
        <v>0</v>
      </c>
    </row>
    <row r="497" spans="1:9" x14ac:dyDescent="0.2">
      <c r="A497" s="2">
        <v>7</v>
      </c>
      <c r="B497" s="1" t="s">
        <v>98</v>
      </c>
      <c r="C497" s="4">
        <v>89</v>
      </c>
      <c r="D497" s="8">
        <v>3.65</v>
      </c>
      <c r="E497" s="4">
        <v>13</v>
      </c>
      <c r="F497" s="8">
        <v>1.1299999999999999</v>
      </c>
      <c r="G497" s="4">
        <v>76</v>
      </c>
      <c r="H497" s="8">
        <v>5.88</v>
      </c>
      <c r="I497" s="4">
        <v>0</v>
      </c>
    </row>
    <row r="498" spans="1:9" x14ac:dyDescent="0.2">
      <c r="A498" s="2">
        <v>8</v>
      </c>
      <c r="B498" s="1" t="s">
        <v>100</v>
      </c>
      <c r="C498" s="4">
        <v>83</v>
      </c>
      <c r="D498" s="8">
        <v>3.4</v>
      </c>
      <c r="E498" s="4">
        <v>12</v>
      </c>
      <c r="F498" s="8">
        <v>1.05</v>
      </c>
      <c r="G498" s="4">
        <v>71</v>
      </c>
      <c r="H498" s="8">
        <v>5.5</v>
      </c>
      <c r="I498" s="4">
        <v>0</v>
      </c>
    </row>
    <row r="499" spans="1:9" x14ac:dyDescent="0.2">
      <c r="A499" s="2">
        <v>9</v>
      </c>
      <c r="B499" s="1" t="s">
        <v>105</v>
      </c>
      <c r="C499" s="4">
        <v>77</v>
      </c>
      <c r="D499" s="8">
        <v>3.16</v>
      </c>
      <c r="E499" s="4">
        <v>58</v>
      </c>
      <c r="F499" s="8">
        <v>5.0599999999999996</v>
      </c>
      <c r="G499" s="4">
        <v>19</v>
      </c>
      <c r="H499" s="8">
        <v>1.47</v>
      </c>
      <c r="I499" s="4">
        <v>0</v>
      </c>
    </row>
    <row r="500" spans="1:9" x14ac:dyDescent="0.2">
      <c r="A500" s="2">
        <v>10</v>
      </c>
      <c r="B500" s="1" t="s">
        <v>99</v>
      </c>
      <c r="C500" s="4">
        <v>75</v>
      </c>
      <c r="D500" s="8">
        <v>3.07</v>
      </c>
      <c r="E500" s="4">
        <v>19</v>
      </c>
      <c r="F500" s="8">
        <v>1.66</v>
      </c>
      <c r="G500" s="4">
        <v>56</v>
      </c>
      <c r="H500" s="8">
        <v>4.33</v>
      </c>
      <c r="I500" s="4">
        <v>0</v>
      </c>
    </row>
    <row r="501" spans="1:9" x14ac:dyDescent="0.2">
      <c r="A501" s="2">
        <v>11</v>
      </c>
      <c r="B501" s="1" t="s">
        <v>102</v>
      </c>
      <c r="C501" s="4">
        <v>71</v>
      </c>
      <c r="D501" s="8">
        <v>2.91</v>
      </c>
      <c r="E501" s="4">
        <v>13</v>
      </c>
      <c r="F501" s="8">
        <v>1.1299999999999999</v>
      </c>
      <c r="G501" s="4">
        <v>58</v>
      </c>
      <c r="H501" s="8">
        <v>4.49</v>
      </c>
      <c r="I501" s="4">
        <v>0</v>
      </c>
    </row>
    <row r="502" spans="1:9" x14ac:dyDescent="0.2">
      <c r="A502" s="2">
        <v>12</v>
      </c>
      <c r="B502" s="1" t="s">
        <v>107</v>
      </c>
      <c r="C502" s="4">
        <v>69</v>
      </c>
      <c r="D502" s="8">
        <v>2.83</v>
      </c>
      <c r="E502" s="4">
        <v>39</v>
      </c>
      <c r="F502" s="8">
        <v>3.4</v>
      </c>
      <c r="G502" s="4">
        <v>30</v>
      </c>
      <c r="H502" s="8">
        <v>2.3199999999999998</v>
      </c>
      <c r="I502" s="4">
        <v>0</v>
      </c>
    </row>
    <row r="503" spans="1:9" x14ac:dyDescent="0.2">
      <c r="A503" s="2">
        <v>13</v>
      </c>
      <c r="B503" s="1" t="s">
        <v>138</v>
      </c>
      <c r="C503" s="4">
        <v>50</v>
      </c>
      <c r="D503" s="8">
        <v>2.0499999999999998</v>
      </c>
      <c r="E503" s="4">
        <v>2</v>
      </c>
      <c r="F503" s="8">
        <v>0.17</v>
      </c>
      <c r="G503" s="4">
        <v>48</v>
      </c>
      <c r="H503" s="8">
        <v>3.72</v>
      </c>
      <c r="I503" s="4">
        <v>0</v>
      </c>
    </row>
    <row r="504" spans="1:9" x14ac:dyDescent="0.2">
      <c r="A504" s="2">
        <v>14</v>
      </c>
      <c r="B504" s="1" t="s">
        <v>101</v>
      </c>
      <c r="C504" s="4">
        <v>45</v>
      </c>
      <c r="D504" s="8">
        <v>1.84</v>
      </c>
      <c r="E504" s="4">
        <v>12</v>
      </c>
      <c r="F504" s="8">
        <v>1.05</v>
      </c>
      <c r="G504" s="4">
        <v>33</v>
      </c>
      <c r="H504" s="8">
        <v>2.5499999999999998</v>
      </c>
      <c r="I504" s="4">
        <v>0</v>
      </c>
    </row>
    <row r="505" spans="1:9" x14ac:dyDescent="0.2">
      <c r="A505" s="2">
        <v>14</v>
      </c>
      <c r="B505" s="1" t="s">
        <v>111</v>
      </c>
      <c r="C505" s="4">
        <v>45</v>
      </c>
      <c r="D505" s="8">
        <v>1.84</v>
      </c>
      <c r="E505" s="4">
        <v>20</v>
      </c>
      <c r="F505" s="8">
        <v>1.75</v>
      </c>
      <c r="G505" s="4">
        <v>25</v>
      </c>
      <c r="H505" s="8">
        <v>1.93</v>
      </c>
      <c r="I505" s="4">
        <v>0</v>
      </c>
    </row>
    <row r="506" spans="1:9" x14ac:dyDescent="0.2">
      <c r="A506" s="2">
        <v>16</v>
      </c>
      <c r="B506" s="1" t="s">
        <v>123</v>
      </c>
      <c r="C506" s="4">
        <v>42</v>
      </c>
      <c r="D506" s="8">
        <v>1.72</v>
      </c>
      <c r="E506" s="4">
        <v>1</v>
      </c>
      <c r="F506" s="8">
        <v>0.09</v>
      </c>
      <c r="G506" s="4">
        <v>41</v>
      </c>
      <c r="H506" s="8">
        <v>3.17</v>
      </c>
      <c r="I506" s="4">
        <v>0</v>
      </c>
    </row>
    <row r="507" spans="1:9" x14ac:dyDescent="0.2">
      <c r="A507" s="2">
        <v>17</v>
      </c>
      <c r="B507" s="1" t="s">
        <v>103</v>
      </c>
      <c r="C507" s="4">
        <v>39</v>
      </c>
      <c r="D507" s="8">
        <v>1.6</v>
      </c>
      <c r="E507" s="4">
        <v>3</v>
      </c>
      <c r="F507" s="8">
        <v>0.26</v>
      </c>
      <c r="G507" s="4">
        <v>36</v>
      </c>
      <c r="H507" s="8">
        <v>2.79</v>
      </c>
      <c r="I507" s="4">
        <v>0</v>
      </c>
    </row>
    <row r="508" spans="1:9" x14ac:dyDescent="0.2">
      <c r="A508" s="2">
        <v>17</v>
      </c>
      <c r="B508" s="1" t="s">
        <v>109</v>
      </c>
      <c r="C508" s="4">
        <v>39</v>
      </c>
      <c r="D508" s="8">
        <v>1.6</v>
      </c>
      <c r="E508" s="4">
        <v>12</v>
      </c>
      <c r="F508" s="8">
        <v>1.05</v>
      </c>
      <c r="G508" s="4">
        <v>27</v>
      </c>
      <c r="H508" s="8">
        <v>2.09</v>
      </c>
      <c r="I508" s="4">
        <v>0</v>
      </c>
    </row>
    <row r="509" spans="1:9" x14ac:dyDescent="0.2">
      <c r="A509" s="2">
        <v>19</v>
      </c>
      <c r="B509" s="1" t="s">
        <v>104</v>
      </c>
      <c r="C509" s="4">
        <v>38</v>
      </c>
      <c r="D509" s="8">
        <v>1.56</v>
      </c>
      <c r="E509" s="4">
        <v>7</v>
      </c>
      <c r="F509" s="8">
        <v>0.61</v>
      </c>
      <c r="G509" s="4">
        <v>31</v>
      </c>
      <c r="H509" s="8">
        <v>2.4</v>
      </c>
      <c r="I509" s="4">
        <v>0</v>
      </c>
    </row>
    <row r="510" spans="1:9" x14ac:dyDescent="0.2">
      <c r="A510" s="2">
        <v>20</v>
      </c>
      <c r="B510" s="1" t="s">
        <v>117</v>
      </c>
      <c r="C510" s="4">
        <v>37</v>
      </c>
      <c r="D510" s="8">
        <v>1.52</v>
      </c>
      <c r="E510" s="4">
        <v>0</v>
      </c>
      <c r="F510" s="8">
        <v>0</v>
      </c>
      <c r="G510" s="4">
        <v>36</v>
      </c>
      <c r="H510" s="8">
        <v>2.79</v>
      </c>
      <c r="I510" s="4">
        <v>1</v>
      </c>
    </row>
    <row r="511" spans="1:9" x14ac:dyDescent="0.2">
      <c r="A511" s="2">
        <v>20</v>
      </c>
      <c r="B511" s="1" t="s">
        <v>119</v>
      </c>
      <c r="C511" s="4">
        <v>37</v>
      </c>
      <c r="D511" s="8">
        <v>1.52</v>
      </c>
      <c r="E511" s="4">
        <v>2</v>
      </c>
      <c r="F511" s="8">
        <v>0.17</v>
      </c>
      <c r="G511" s="4">
        <v>35</v>
      </c>
      <c r="H511" s="8">
        <v>2.71</v>
      </c>
      <c r="I511" s="4">
        <v>0</v>
      </c>
    </row>
    <row r="512" spans="1:9" x14ac:dyDescent="0.2">
      <c r="A512" s="1"/>
      <c r="C512" s="4"/>
      <c r="D512" s="8"/>
      <c r="E512" s="4"/>
      <c r="F512" s="8"/>
      <c r="G512" s="4"/>
      <c r="H512" s="8"/>
      <c r="I512" s="4"/>
    </row>
    <row r="513" spans="1:9" x14ac:dyDescent="0.2">
      <c r="A513" s="1" t="s">
        <v>23</v>
      </c>
      <c r="C513" s="4"/>
      <c r="D513" s="8"/>
      <c r="E513" s="4"/>
      <c r="F513" s="8"/>
      <c r="G513" s="4"/>
      <c r="H513" s="8"/>
      <c r="I513" s="4"/>
    </row>
    <row r="514" spans="1:9" x14ac:dyDescent="0.2">
      <c r="A514" s="2">
        <v>1</v>
      </c>
      <c r="B514" s="1" t="s">
        <v>110</v>
      </c>
      <c r="C514" s="4">
        <v>532</v>
      </c>
      <c r="D514" s="8">
        <v>11.49</v>
      </c>
      <c r="E514" s="4">
        <v>111</v>
      </c>
      <c r="F514" s="8">
        <v>4.92</v>
      </c>
      <c r="G514" s="4">
        <v>420</v>
      </c>
      <c r="H514" s="8">
        <v>17.73</v>
      </c>
      <c r="I514" s="4">
        <v>1</v>
      </c>
    </row>
    <row r="515" spans="1:9" x14ac:dyDescent="0.2">
      <c r="A515" s="2">
        <v>2</v>
      </c>
      <c r="B515" s="1" t="s">
        <v>113</v>
      </c>
      <c r="C515" s="4">
        <v>434</v>
      </c>
      <c r="D515" s="8">
        <v>9.3699999999999992</v>
      </c>
      <c r="E515" s="4">
        <v>410</v>
      </c>
      <c r="F515" s="8">
        <v>18.18</v>
      </c>
      <c r="G515" s="4">
        <v>24</v>
      </c>
      <c r="H515" s="8">
        <v>1.01</v>
      </c>
      <c r="I515" s="4">
        <v>0</v>
      </c>
    </row>
    <row r="516" spans="1:9" x14ac:dyDescent="0.2">
      <c r="A516" s="2">
        <v>3</v>
      </c>
      <c r="B516" s="1" t="s">
        <v>101</v>
      </c>
      <c r="C516" s="4">
        <v>322</v>
      </c>
      <c r="D516" s="8">
        <v>6.95</v>
      </c>
      <c r="E516" s="4">
        <v>146</v>
      </c>
      <c r="F516" s="8">
        <v>6.47</v>
      </c>
      <c r="G516" s="4">
        <v>176</v>
      </c>
      <c r="H516" s="8">
        <v>7.43</v>
      </c>
      <c r="I516" s="4">
        <v>0</v>
      </c>
    </row>
    <row r="517" spans="1:9" x14ac:dyDescent="0.2">
      <c r="A517" s="2">
        <v>4</v>
      </c>
      <c r="B517" s="1" t="s">
        <v>114</v>
      </c>
      <c r="C517" s="4">
        <v>293</v>
      </c>
      <c r="D517" s="8">
        <v>6.33</v>
      </c>
      <c r="E517" s="4">
        <v>254</v>
      </c>
      <c r="F517" s="8">
        <v>11.26</v>
      </c>
      <c r="G517" s="4">
        <v>39</v>
      </c>
      <c r="H517" s="8">
        <v>1.65</v>
      </c>
      <c r="I517" s="4">
        <v>0</v>
      </c>
    </row>
    <row r="518" spans="1:9" x14ac:dyDescent="0.2">
      <c r="A518" s="2">
        <v>5</v>
      </c>
      <c r="B518" s="1" t="s">
        <v>108</v>
      </c>
      <c r="C518" s="4">
        <v>228</v>
      </c>
      <c r="D518" s="8">
        <v>4.92</v>
      </c>
      <c r="E518" s="4">
        <v>149</v>
      </c>
      <c r="F518" s="8">
        <v>6.61</v>
      </c>
      <c r="G518" s="4">
        <v>79</v>
      </c>
      <c r="H518" s="8">
        <v>3.33</v>
      </c>
      <c r="I518" s="4">
        <v>0</v>
      </c>
    </row>
    <row r="519" spans="1:9" x14ac:dyDescent="0.2">
      <c r="A519" s="2">
        <v>6</v>
      </c>
      <c r="B519" s="1" t="s">
        <v>116</v>
      </c>
      <c r="C519" s="4">
        <v>199</v>
      </c>
      <c r="D519" s="8">
        <v>4.3</v>
      </c>
      <c r="E519" s="4">
        <v>173</v>
      </c>
      <c r="F519" s="8">
        <v>7.67</v>
      </c>
      <c r="G519" s="4">
        <v>26</v>
      </c>
      <c r="H519" s="8">
        <v>1.1000000000000001</v>
      </c>
      <c r="I519" s="4">
        <v>0</v>
      </c>
    </row>
    <row r="520" spans="1:9" x14ac:dyDescent="0.2">
      <c r="A520" s="2">
        <v>7</v>
      </c>
      <c r="B520" s="1" t="s">
        <v>106</v>
      </c>
      <c r="C520" s="4">
        <v>175</v>
      </c>
      <c r="D520" s="8">
        <v>3.78</v>
      </c>
      <c r="E520" s="4">
        <v>148</v>
      </c>
      <c r="F520" s="8">
        <v>6.56</v>
      </c>
      <c r="G520" s="4">
        <v>27</v>
      </c>
      <c r="H520" s="8">
        <v>1.1399999999999999</v>
      </c>
      <c r="I520" s="4">
        <v>0</v>
      </c>
    </row>
    <row r="521" spans="1:9" x14ac:dyDescent="0.2">
      <c r="A521" s="2">
        <v>8</v>
      </c>
      <c r="B521" s="1" t="s">
        <v>99</v>
      </c>
      <c r="C521" s="4">
        <v>172</v>
      </c>
      <c r="D521" s="8">
        <v>3.71</v>
      </c>
      <c r="E521" s="4">
        <v>36</v>
      </c>
      <c r="F521" s="8">
        <v>1.6</v>
      </c>
      <c r="G521" s="4">
        <v>136</v>
      </c>
      <c r="H521" s="8">
        <v>5.74</v>
      </c>
      <c r="I521" s="4">
        <v>0</v>
      </c>
    </row>
    <row r="522" spans="1:9" x14ac:dyDescent="0.2">
      <c r="A522" s="2">
        <v>9</v>
      </c>
      <c r="B522" s="1" t="s">
        <v>100</v>
      </c>
      <c r="C522" s="4">
        <v>165</v>
      </c>
      <c r="D522" s="8">
        <v>3.56</v>
      </c>
      <c r="E522" s="4">
        <v>31</v>
      </c>
      <c r="F522" s="8">
        <v>1.37</v>
      </c>
      <c r="G522" s="4">
        <v>133</v>
      </c>
      <c r="H522" s="8">
        <v>5.61</v>
      </c>
      <c r="I522" s="4">
        <v>1</v>
      </c>
    </row>
    <row r="523" spans="1:9" x14ac:dyDescent="0.2">
      <c r="A523" s="2">
        <v>10</v>
      </c>
      <c r="B523" s="1" t="s">
        <v>98</v>
      </c>
      <c r="C523" s="4">
        <v>155</v>
      </c>
      <c r="D523" s="8">
        <v>3.35</v>
      </c>
      <c r="E523" s="4">
        <v>26</v>
      </c>
      <c r="F523" s="8">
        <v>1.1499999999999999</v>
      </c>
      <c r="G523" s="4">
        <v>129</v>
      </c>
      <c r="H523" s="8">
        <v>5.45</v>
      </c>
      <c r="I523" s="4">
        <v>0</v>
      </c>
    </row>
    <row r="524" spans="1:9" x14ac:dyDescent="0.2">
      <c r="A524" s="2">
        <v>11</v>
      </c>
      <c r="B524" s="1" t="s">
        <v>132</v>
      </c>
      <c r="C524" s="4">
        <v>113</v>
      </c>
      <c r="D524" s="8">
        <v>2.44</v>
      </c>
      <c r="E524" s="4">
        <v>53</v>
      </c>
      <c r="F524" s="8">
        <v>2.35</v>
      </c>
      <c r="G524" s="4">
        <v>60</v>
      </c>
      <c r="H524" s="8">
        <v>2.5299999999999998</v>
      </c>
      <c r="I524" s="4">
        <v>0</v>
      </c>
    </row>
    <row r="525" spans="1:9" x14ac:dyDescent="0.2">
      <c r="A525" s="2">
        <v>12</v>
      </c>
      <c r="B525" s="1" t="s">
        <v>107</v>
      </c>
      <c r="C525" s="4">
        <v>110</v>
      </c>
      <c r="D525" s="8">
        <v>2.38</v>
      </c>
      <c r="E525" s="4">
        <v>73</v>
      </c>
      <c r="F525" s="8">
        <v>3.24</v>
      </c>
      <c r="G525" s="4">
        <v>37</v>
      </c>
      <c r="H525" s="8">
        <v>1.56</v>
      </c>
      <c r="I525" s="4">
        <v>0</v>
      </c>
    </row>
    <row r="526" spans="1:9" x14ac:dyDescent="0.2">
      <c r="A526" s="2">
        <v>13</v>
      </c>
      <c r="B526" s="1" t="s">
        <v>127</v>
      </c>
      <c r="C526" s="4">
        <v>106</v>
      </c>
      <c r="D526" s="8">
        <v>2.29</v>
      </c>
      <c r="E526" s="4">
        <v>36</v>
      </c>
      <c r="F526" s="8">
        <v>1.6</v>
      </c>
      <c r="G526" s="4">
        <v>70</v>
      </c>
      <c r="H526" s="8">
        <v>2.95</v>
      </c>
      <c r="I526" s="4">
        <v>0</v>
      </c>
    </row>
    <row r="527" spans="1:9" x14ac:dyDescent="0.2">
      <c r="A527" s="2">
        <v>14</v>
      </c>
      <c r="B527" s="1" t="s">
        <v>134</v>
      </c>
      <c r="C527" s="4">
        <v>84</v>
      </c>
      <c r="D527" s="8">
        <v>1.81</v>
      </c>
      <c r="E527" s="4">
        <v>33</v>
      </c>
      <c r="F527" s="8">
        <v>1.46</v>
      </c>
      <c r="G527" s="4">
        <v>51</v>
      </c>
      <c r="H527" s="8">
        <v>2.15</v>
      </c>
      <c r="I527" s="4">
        <v>0</v>
      </c>
    </row>
    <row r="528" spans="1:9" x14ac:dyDescent="0.2">
      <c r="A528" s="2">
        <v>15</v>
      </c>
      <c r="B528" s="1" t="s">
        <v>105</v>
      </c>
      <c r="C528" s="4">
        <v>83</v>
      </c>
      <c r="D528" s="8">
        <v>1.79</v>
      </c>
      <c r="E528" s="4">
        <v>57</v>
      </c>
      <c r="F528" s="8">
        <v>2.5299999999999998</v>
      </c>
      <c r="G528" s="4">
        <v>25</v>
      </c>
      <c r="H528" s="8">
        <v>1.06</v>
      </c>
      <c r="I528" s="4">
        <v>1</v>
      </c>
    </row>
    <row r="529" spans="1:9" x14ac:dyDescent="0.2">
      <c r="A529" s="2">
        <v>16</v>
      </c>
      <c r="B529" s="1" t="s">
        <v>121</v>
      </c>
      <c r="C529" s="4">
        <v>81</v>
      </c>
      <c r="D529" s="8">
        <v>1.75</v>
      </c>
      <c r="E529" s="4">
        <v>38</v>
      </c>
      <c r="F529" s="8">
        <v>1.69</v>
      </c>
      <c r="G529" s="4">
        <v>43</v>
      </c>
      <c r="H529" s="8">
        <v>1.82</v>
      </c>
      <c r="I529" s="4">
        <v>0</v>
      </c>
    </row>
    <row r="530" spans="1:9" x14ac:dyDescent="0.2">
      <c r="A530" s="2">
        <v>17</v>
      </c>
      <c r="B530" s="1" t="s">
        <v>115</v>
      </c>
      <c r="C530" s="4">
        <v>77</v>
      </c>
      <c r="D530" s="8">
        <v>1.66</v>
      </c>
      <c r="E530" s="4">
        <v>54</v>
      </c>
      <c r="F530" s="8">
        <v>2.39</v>
      </c>
      <c r="G530" s="4">
        <v>22</v>
      </c>
      <c r="H530" s="8">
        <v>0.93</v>
      </c>
      <c r="I530" s="4">
        <v>0</v>
      </c>
    </row>
    <row r="531" spans="1:9" x14ac:dyDescent="0.2">
      <c r="A531" s="2">
        <v>18</v>
      </c>
      <c r="B531" s="1" t="s">
        <v>117</v>
      </c>
      <c r="C531" s="4">
        <v>76</v>
      </c>
      <c r="D531" s="8">
        <v>1.64</v>
      </c>
      <c r="E531" s="4">
        <v>2</v>
      </c>
      <c r="F531" s="8">
        <v>0.09</v>
      </c>
      <c r="G531" s="4">
        <v>73</v>
      </c>
      <c r="H531" s="8">
        <v>3.08</v>
      </c>
      <c r="I531" s="4">
        <v>1</v>
      </c>
    </row>
    <row r="532" spans="1:9" x14ac:dyDescent="0.2">
      <c r="A532" s="2">
        <v>19</v>
      </c>
      <c r="B532" s="1" t="s">
        <v>109</v>
      </c>
      <c r="C532" s="4">
        <v>74</v>
      </c>
      <c r="D532" s="8">
        <v>1.6</v>
      </c>
      <c r="E532" s="4">
        <v>14</v>
      </c>
      <c r="F532" s="8">
        <v>0.62</v>
      </c>
      <c r="G532" s="4">
        <v>60</v>
      </c>
      <c r="H532" s="8">
        <v>2.5299999999999998</v>
      </c>
      <c r="I532" s="4">
        <v>0</v>
      </c>
    </row>
    <row r="533" spans="1:9" x14ac:dyDescent="0.2">
      <c r="A533" s="2">
        <v>20</v>
      </c>
      <c r="B533" s="1" t="s">
        <v>103</v>
      </c>
      <c r="C533" s="4">
        <v>72</v>
      </c>
      <c r="D533" s="8">
        <v>1.56</v>
      </c>
      <c r="E533" s="4">
        <v>15</v>
      </c>
      <c r="F533" s="8">
        <v>0.67</v>
      </c>
      <c r="G533" s="4">
        <v>57</v>
      </c>
      <c r="H533" s="8">
        <v>2.41</v>
      </c>
      <c r="I533" s="4">
        <v>0</v>
      </c>
    </row>
    <row r="534" spans="1:9" x14ac:dyDescent="0.2">
      <c r="A534" s="2">
        <v>20</v>
      </c>
      <c r="B534" s="1" t="s">
        <v>104</v>
      </c>
      <c r="C534" s="4">
        <v>72</v>
      </c>
      <c r="D534" s="8">
        <v>1.56</v>
      </c>
      <c r="E534" s="4">
        <v>20</v>
      </c>
      <c r="F534" s="8">
        <v>0.89</v>
      </c>
      <c r="G534" s="4">
        <v>52</v>
      </c>
      <c r="H534" s="8">
        <v>2.2000000000000002</v>
      </c>
      <c r="I534" s="4">
        <v>0</v>
      </c>
    </row>
    <row r="535" spans="1:9" x14ac:dyDescent="0.2">
      <c r="A535" s="1"/>
      <c r="C535" s="4"/>
      <c r="D535" s="8"/>
      <c r="E535" s="4"/>
      <c r="F535" s="8"/>
      <c r="G535" s="4"/>
      <c r="H535" s="8"/>
      <c r="I535" s="4"/>
    </row>
    <row r="536" spans="1:9" x14ac:dyDescent="0.2">
      <c r="A536" s="1" t="s">
        <v>24</v>
      </c>
      <c r="C536" s="4"/>
      <c r="D536" s="8"/>
      <c r="E536" s="4"/>
      <c r="F536" s="8"/>
      <c r="G536" s="4"/>
      <c r="H536" s="8"/>
      <c r="I536" s="4"/>
    </row>
    <row r="537" spans="1:9" x14ac:dyDescent="0.2">
      <c r="A537" s="2">
        <v>1</v>
      </c>
      <c r="B537" s="1" t="s">
        <v>113</v>
      </c>
      <c r="C537" s="4">
        <v>2394</v>
      </c>
      <c r="D537" s="8">
        <v>17.91</v>
      </c>
      <c r="E537" s="4">
        <v>1815</v>
      </c>
      <c r="F537" s="8">
        <v>34.409999999999997</v>
      </c>
      <c r="G537" s="4">
        <v>577</v>
      </c>
      <c r="H537" s="8">
        <v>7.16</v>
      </c>
      <c r="I537" s="4">
        <v>2</v>
      </c>
    </row>
    <row r="538" spans="1:9" x14ac:dyDescent="0.2">
      <c r="A538" s="2">
        <v>2</v>
      </c>
      <c r="B538" s="1" t="s">
        <v>111</v>
      </c>
      <c r="C538" s="4">
        <v>2222</v>
      </c>
      <c r="D538" s="8">
        <v>16.62</v>
      </c>
      <c r="E538" s="4">
        <v>1531</v>
      </c>
      <c r="F538" s="8">
        <v>29.02</v>
      </c>
      <c r="G538" s="4">
        <v>687</v>
      </c>
      <c r="H538" s="8">
        <v>8.52</v>
      </c>
      <c r="I538" s="4">
        <v>4</v>
      </c>
    </row>
    <row r="539" spans="1:9" x14ac:dyDescent="0.2">
      <c r="A539" s="2">
        <v>3</v>
      </c>
      <c r="B539" s="1" t="s">
        <v>110</v>
      </c>
      <c r="C539" s="4">
        <v>1120</v>
      </c>
      <c r="D539" s="8">
        <v>8.3800000000000008</v>
      </c>
      <c r="E539" s="4">
        <v>255</v>
      </c>
      <c r="F539" s="8">
        <v>4.83</v>
      </c>
      <c r="G539" s="4">
        <v>865</v>
      </c>
      <c r="H539" s="8">
        <v>10.73</v>
      </c>
      <c r="I539" s="4">
        <v>0</v>
      </c>
    </row>
    <row r="540" spans="1:9" x14ac:dyDescent="0.2">
      <c r="A540" s="2">
        <v>4</v>
      </c>
      <c r="B540" s="1" t="s">
        <v>108</v>
      </c>
      <c r="C540" s="4">
        <v>596</v>
      </c>
      <c r="D540" s="8">
        <v>4.46</v>
      </c>
      <c r="E540" s="4">
        <v>246</v>
      </c>
      <c r="F540" s="8">
        <v>4.66</v>
      </c>
      <c r="G540" s="4">
        <v>350</v>
      </c>
      <c r="H540" s="8">
        <v>4.34</v>
      </c>
      <c r="I540" s="4">
        <v>0</v>
      </c>
    </row>
    <row r="541" spans="1:9" x14ac:dyDescent="0.2">
      <c r="A541" s="2">
        <v>5</v>
      </c>
      <c r="B541" s="1" t="s">
        <v>105</v>
      </c>
      <c r="C541" s="4">
        <v>520</v>
      </c>
      <c r="D541" s="8">
        <v>3.89</v>
      </c>
      <c r="E541" s="4">
        <v>89</v>
      </c>
      <c r="F541" s="8">
        <v>1.69</v>
      </c>
      <c r="G541" s="4">
        <v>431</v>
      </c>
      <c r="H541" s="8">
        <v>5.34</v>
      </c>
      <c r="I541" s="4">
        <v>0</v>
      </c>
    </row>
    <row r="542" spans="1:9" x14ac:dyDescent="0.2">
      <c r="A542" s="2">
        <v>6</v>
      </c>
      <c r="B542" s="1" t="s">
        <v>114</v>
      </c>
      <c r="C542" s="4">
        <v>478</v>
      </c>
      <c r="D542" s="8">
        <v>3.58</v>
      </c>
      <c r="E542" s="4">
        <v>314</v>
      </c>
      <c r="F542" s="8">
        <v>5.95</v>
      </c>
      <c r="G542" s="4">
        <v>164</v>
      </c>
      <c r="H542" s="8">
        <v>2.0299999999999998</v>
      </c>
      <c r="I542" s="4">
        <v>0</v>
      </c>
    </row>
    <row r="543" spans="1:9" x14ac:dyDescent="0.2">
      <c r="A543" s="2">
        <v>7</v>
      </c>
      <c r="B543" s="1" t="s">
        <v>112</v>
      </c>
      <c r="C543" s="4">
        <v>434</v>
      </c>
      <c r="D543" s="8">
        <v>3.25</v>
      </c>
      <c r="E543" s="4">
        <v>140</v>
      </c>
      <c r="F543" s="8">
        <v>2.65</v>
      </c>
      <c r="G543" s="4">
        <v>292</v>
      </c>
      <c r="H543" s="8">
        <v>3.62</v>
      </c>
      <c r="I543" s="4">
        <v>1</v>
      </c>
    </row>
    <row r="544" spans="1:9" x14ac:dyDescent="0.2">
      <c r="A544" s="2">
        <v>8</v>
      </c>
      <c r="B544" s="1" t="s">
        <v>109</v>
      </c>
      <c r="C544" s="4">
        <v>380</v>
      </c>
      <c r="D544" s="8">
        <v>2.84</v>
      </c>
      <c r="E544" s="4">
        <v>26</v>
      </c>
      <c r="F544" s="8">
        <v>0.49</v>
      </c>
      <c r="G544" s="4">
        <v>354</v>
      </c>
      <c r="H544" s="8">
        <v>4.3899999999999997</v>
      </c>
      <c r="I544" s="4">
        <v>0</v>
      </c>
    </row>
    <row r="545" spans="1:9" x14ac:dyDescent="0.2">
      <c r="A545" s="2">
        <v>8</v>
      </c>
      <c r="B545" s="1" t="s">
        <v>119</v>
      </c>
      <c r="C545" s="4">
        <v>380</v>
      </c>
      <c r="D545" s="8">
        <v>2.84</v>
      </c>
      <c r="E545" s="4">
        <v>22</v>
      </c>
      <c r="F545" s="8">
        <v>0.42</v>
      </c>
      <c r="G545" s="4">
        <v>352</v>
      </c>
      <c r="H545" s="8">
        <v>4.37</v>
      </c>
      <c r="I545" s="4">
        <v>4</v>
      </c>
    </row>
    <row r="546" spans="1:9" x14ac:dyDescent="0.2">
      <c r="A546" s="2">
        <v>10</v>
      </c>
      <c r="B546" s="1" t="s">
        <v>116</v>
      </c>
      <c r="C546" s="4">
        <v>324</v>
      </c>
      <c r="D546" s="8">
        <v>2.42</v>
      </c>
      <c r="E546" s="4">
        <v>240</v>
      </c>
      <c r="F546" s="8">
        <v>4.55</v>
      </c>
      <c r="G546" s="4">
        <v>84</v>
      </c>
      <c r="H546" s="8">
        <v>1.04</v>
      </c>
      <c r="I546" s="4">
        <v>0</v>
      </c>
    </row>
    <row r="547" spans="1:9" x14ac:dyDescent="0.2">
      <c r="A547" s="2">
        <v>11</v>
      </c>
      <c r="B547" s="1" t="s">
        <v>103</v>
      </c>
      <c r="C547" s="4">
        <v>299</v>
      </c>
      <c r="D547" s="8">
        <v>2.2400000000000002</v>
      </c>
      <c r="E547" s="4">
        <v>9</v>
      </c>
      <c r="F547" s="8">
        <v>0.17</v>
      </c>
      <c r="G547" s="4">
        <v>290</v>
      </c>
      <c r="H547" s="8">
        <v>3.6</v>
      </c>
      <c r="I547" s="4">
        <v>0</v>
      </c>
    </row>
    <row r="548" spans="1:9" x14ac:dyDescent="0.2">
      <c r="A548" s="2">
        <v>12</v>
      </c>
      <c r="B548" s="1" t="s">
        <v>139</v>
      </c>
      <c r="C548" s="4">
        <v>288</v>
      </c>
      <c r="D548" s="8">
        <v>2.15</v>
      </c>
      <c r="E548" s="4">
        <v>27</v>
      </c>
      <c r="F548" s="8">
        <v>0.51</v>
      </c>
      <c r="G548" s="4">
        <v>261</v>
      </c>
      <c r="H548" s="8">
        <v>3.24</v>
      </c>
      <c r="I548" s="4">
        <v>0</v>
      </c>
    </row>
    <row r="549" spans="1:9" x14ac:dyDescent="0.2">
      <c r="A549" s="2">
        <v>13</v>
      </c>
      <c r="B549" s="1" t="s">
        <v>115</v>
      </c>
      <c r="C549" s="4">
        <v>281</v>
      </c>
      <c r="D549" s="8">
        <v>2.1</v>
      </c>
      <c r="E549" s="4">
        <v>102</v>
      </c>
      <c r="F549" s="8">
        <v>1.93</v>
      </c>
      <c r="G549" s="4">
        <v>176</v>
      </c>
      <c r="H549" s="8">
        <v>2.1800000000000002</v>
      </c>
      <c r="I549" s="4">
        <v>2</v>
      </c>
    </row>
    <row r="550" spans="1:9" x14ac:dyDescent="0.2">
      <c r="A550" s="2">
        <v>14</v>
      </c>
      <c r="B550" s="1" t="s">
        <v>104</v>
      </c>
      <c r="C550" s="4">
        <v>255</v>
      </c>
      <c r="D550" s="8">
        <v>1.91</v>
      </c>
      <c r="E550" s="4">
        <v>20</v>
      </c>
      <c r="F550" s="8">
        <v>0.38</v>
      </c>
      <c r="G550" s="4">
        <v>235</v>
      </c>
      <c r="H550" s="8">
        <v>2.91</v>
      </c>
      <c r="I550" s="4">
        <v>0</v>
      </c>
    </row>
    <row r="551" spans="1:9" x14ac:dyDescent="0.2">
      <c r="A551" s="2">
        <v>15</v>
      </c>
      <c r="B551" s="1" t="s">
        <v>125</v>
      </c>
      <c r="C551" s="4">
        <v>240</v>
      </c>
      <c r="D551" s="8">
        <v>1.8</v>
      </c>
      <c r="E551" s="4">
        <v>9</v>
      </c>
      <c r="F551" s="8">
        <v>0.17</v>
      </c>
      <c r="G551" s="4">
        <v>231</v>
      </c>
      <c r="H551" s="8">
        <v>2.86</v>
      </c>
      <c r="I551" s="4">
        <v>0</v>
      </c>
    </row>
    <row r="552" spans="1:9" x14ac:dyDescent="0.2">
      <c r="A552" s="2">
        <v>16</v>
      </c>
      <c r="B552" s="1" t="s">
        <v>106</v>
      </c>
      <c r="C552" s="4">
        <v>239</v>
      </c>
      <c r="D552" s="8">
        <v>1.79</v>
      </c>
      <c r="E552" s="4">
        <v>108</v>
      </c>
      <c r="F552" s="8">
        <v>2.0499999999999998</v>
      </c>
      <c r="G552" s="4">
        <v>131</v>
      </c>
      <c r="H552" s="8">
        <v>1.62</v>
      </c>
      <c r="I552" s="4">
        <v>0</v>
      </c>
    </row>
    <row r="553" spans="1:9" x14ac:dyDescent="0.2">
      <c r="A553" s="2">
        <v>17</v>
      </c>
      <c r="B553" s="1" t="s">
        <v>102</v>
      </c>
      <c r="C553" s="4">
        <v>215</v>
      </c>
      <c r="D553" s="8">
        <v>1.61</v>
      </c>
      <c r="E553" s="4">
        <v>9</v>
      </c>
      <c r="F553" s="8">
        <v>0.17</v>
      </c>
      <c r="G553" s="4">
        <v>205</v>
      </c>
      <c r="H553" s="8">
        <v>2.54</v>
      </c>
      <c r="I553" s="4">
        <v>1</v>
      </c>
    </row>
    <row r="554" spans="1:9" x14ac:dyDescent="0.2">
      <c r="A554" s="2">
        <v>18</v>
      </c>
      <c r="B554" s="1" t="s">
        <v>100</v>
      </c>
      <c r="C554" s="4">
        <v>205</v>
      </c>
      <c r="D554" s="8">
        <v>1.53</v>
      </c>
      <c r="E554" s="4">
        <v>10</v>
      </c>
      <c r="F554" s="8">
        <v>0.19</v>
      </c>
      <c r="G554" s="4">
        <v>195</v>
      </c>
      <c r="H554" s="8">
        <v>2.42</v>
      </c>
      <c r="I554" s="4">
        <v>0</v>
      </c>
    </row>
    <row r="555" spans="1:9" x14ac:dyDescent="0.2">
      <c r="A555" s="2">
        <v>19</v>
      </c>
      <c r="B555" s="1" t="s">
        <v>130</v>
      </c>
      <c r="C555" s="4">
        <v>200</v>
      </c>
      <c r="D555" s="8">
        <v>1.5</v>
      </c>
      <c r="E555" s="4">
        <v>40</v>
      </c>
      <c r="F555" s="8">
        <v>0.76</v>
      </c>
      <c r="G555" s="4">
        <v>159</v>
      </c>
      <c r="H555" s="8">
        <v>1.97</v>
      </c>
      <c r="I555" s="4">
        <v>1</v>
      </c>
    </row>
    <row r="556" spans="1:9" x14ac:dyDescent="0.2">
      <c r="A556" s="2">
        <v>20</v>
      </c>
      <c r="B556" s="1" t="s">
        <v>98</v>
      </c>
      <c r="C556" s="4">
        <v>184</v>
      </c>
      <c r="D556" s="8">
        <v>1.38</v>
      </c>
      <c r="E556" s="4">
        <v>14</v>
      </c>
      <c r="F556" s="8">
        <v>0.27</v>
      </c>
      <c r="G556" s="4">
        <v>170</v>
      </c>
      <c r="H556" s="8">
        <v>2.11</v>
      </c>
      <c r="I556" s="4">
        <v>0</v>
      </c>
    </row>
    <row r="557" spans="1:9" x14ac:dyDescent="0.2">
      <c r="A557" s="1"/>
      <c r="C557" s="4"/>
      <c r="D557" s="8"/>
      <c r="E557" s="4"/>
      <c r="F557" s="8"/>
      <c r="G557" s="4"/>
      <c r="H557" s="8"/>
      <c r="I557" s="4"/>
    </row>
    <row r="558" spans="1:9" x14ac:dyDescent="0.2">
      <c r="A558" s="1" t="s">
        <v>25</v>
      </c>
      <c r="C558" s="4"/>
      <c r="D558" s="8"/>
      <c r="E558" s="4"/>
      <c r="F558" s="8"/>
      <c r="G558" s="4"/>
      <c r="H558" s="8"/>
      <c r="I558" s="4"/>
    </row>
    <row r="559" spans="1:9" x14ac:dyDescent="0.2">
      <c r="A559" s="2">
        <v>1</v>
      </c>
      <c r="B559" s="1" t="s">
        <v>111</v>
      </c>
      <c r="C559" s="4">
        <v>2373</v>
      </c>
      <c r="D559" s="8">
        <v>14.95</v>
      </c>
      <c r="E559" s="4">
        <v>1493</v>
      </c>
      <c r="F559" s="8">
        <v>27.73</v>
      </c>
      <c r="G559" s="4">
        <v>876</v>
      </c>
      <c r="H559" s="8">
        <v>8.39</v>
      </c>
      <c r="I559" s="4">
        <v>4</v>
      </c>
    </row>
    <row r="560" spans="1:9" x14ac:dyDescent="0.2">
      <c r="A560" s="2">
        <v>2</v>
      </c>
      <c r="B560" s="1" t="s">
        <v>113</v>
      </c>
      <c r="C560" s="4">
        <v>2047</v>
      </c>
      <c r="D560" s="8">
        <v>12.9</v>
      </c>
      <c r="E560" s="4">
        <v>1593</v>
      </c>
      <c r="F560" s="8">
        <v>29.59</v>
      </c>
      <c r="G560" s="4">
        <v>454</v>
      </c>
      <c r="H560" s="8">
        <v>4.3499999999999996</v>
      </c>
      <c r="I560" s="4">
        <v>0</v>
      </c>
    </row>
    <row r="561" spans="1:9" x14ac:dyDescent="0.2">
      <c r="A561" s="2">
        <v>3</v>
      </c>
      <c r="B561" s="1" t="s">
        <v>110</v>
      </c>
      <c r="C561" s="4">
        <v>1325</v>
      </c>
      <c r="D561" s="8">
        <v>8.35</v>
      </c>
      <c r="E561" s="4">
        <v>142</v>
      </c>
      <c r="F561" s="8">
        <v>2.64</v>
      </c>
      <c r="G561" s="4">
        <v>1181</v>
      </c>
      <c r="H561" s="8">
        <v>11.31</v>
      </c>
      <c r="I561" s="4">
        <v>2</v>
      </c>
    </row>
    <row r="562" spans="1:9" x14ac:dyDescent="0.2">
      <c r="A562" s="2">
        <v>4</v>
      </c>
      <c r="B562" s="1" t="s">
        <v>118</v>
      </c>
      <c r="C562" s="4">
        <v>877</v>
      </c>
      <c r="D562" s="8">
        <v>5.53</v>
      </c>
      <c r="E562" s="4">
        <v>141</v>
      </c>
      <c r="F562" s="8">
        <v>2.62</v>
      </c>
      <c r="G562" s="4">
        <v>736</v>
      </c>
      <c r="H562" s="8">
        <v>7.05</v>
      </c>
      <c r="I562" s="4">
        <v>0</v>
      </c>
    </row>
    <row r="563" spans="1:9" x14ac:dyDescent="0.2">
      <c r="A563" s="2">
        <v>5</v>
      </c>
      <c r="B563" s="1" t="s">
        <v>108</v>
      </c>
      <c r="C563" s="4">
        <v>685</v>
      </c>
      <c r="D563" s="8">
        <v>4.32</v>
      </c>
      <c r="E563" s="4">
        <v>230</v>
      </c>
      <c r="F563" s="8">
        <v>4.2699999999999996</v>
      </c>
      <c r="G563" s="4">
        <v>455</v>
      </c>
      <c r="H563" s="8">
        <v>4.3600000000000003</v>
      </c>
      <c r="I563" s="4">
        <v>0</v>
      </c>
    </row>
    <row r="564" spans="1:9" x14ac:dyDescent="0.2">
      <c r="A564" s="2">
        <v>6</v>
      </c>
      <c r="B564" s="1" t="s">
        <v>105</v>
      </c>
      <c r="C564" s="4">
        <v>665</v>
      </c>
      <c r="D564" s="8">
        <v>4.1900000000000004</v>
      </c>
      <c r="E564" s="4">
        <v>168</v>
      </c>
      <c r="F564" s="8">
        <v>3.12</v>
      </c>
      <c r="G564" s="4">
        <v>497</v>
      </c>
      <c r="H564" s="8">
        <v>4.76</v>
      </c>
      <c r="I564" s="4">
        <v>0</v>
      </c>
    </row>
    <row r="565" spans="1:9" x14ac:dyDescent="0.2">
      <c r="A565" s="2">
        <v>7</v>
      </c>
      <c r="B565" s="1" t="s">
        <v>104</v>
      </c>
      <c r="C565" s="4">
        <v>607</v>
      </c>
      <c r="D565" s="8">
        <v>3.83</v>
      </c>
      <c r="E565" s="4">
        <v>44</v>
      </c>
      <c r="F565" s="8">
        <v>0.82</v>
      </c>
      <c r="G565" s="4">
        <v>563</v>
      </c>
      <c r="H565" s="8">
        <v>5.39</v>
      </c>
      <c r="I565" s="4">
        <v>0</v>
      </c>
    </row>
    <row r="566" spans="1:9" x14ac:dyDescent="0.2">
      <c r="A566" s="2">
        <v>8</v>
      </c>
      <c r="B566" s="1" t="s">
        <v>114</v>
      </c>
      <c r="C566" s="4">
        <v>562</v>
      </c>
      <c r="D566" s="8">
        <v>3.54</v>
      </c>
      <c r="E566" s="4">
        <v>383</v>
      </c>
      <c r="F566" s="8">
        <v>7.11</v>
      </c>
      <c r="G566" s="4">
        <v>179</v>
      </c>
      <c r="H566" s="8">
        <v>1.71</v>
      </c>
      <c r="I566" s="4">
        <v>0</v>
      </c>
    </row>
    <row r="567" spans="1:9" x14ac:dyDescent="0.2">
      <c r="A567" s="2">
        <v>9</v>
      </c>
      <c r="B567" s="1" t="s">
        <v>109</v>
      </c>
      <c r="C567" s="4">
        <v>557</v>
      </c>
      <c r="D567" s="8">
        <v>3.51</v>
      </c>
      <c r="E567" s="4">
        <v>30</v>
      </c>
      <c r="F567" s="8">
        <v>0.56000000000000005</v>
      </c>
      <c r="G567" s="4">
        <v>527</v>
      </c>
      <c r="H567" s="8">
        <v>5.05</v>
      </c>
      <c r="I567" s="4">
        <v>0</v>
      </c>
    </row>
    <row r="568" spans="1:9" x14ac:dyDescent="0.2">
      <c r="A568" s="2">
        <v>10</v>
      </c>
      <c r="B568" s="1" t="s">
        <v>112</v>
      </c>
      <c r="C568" s="4">
        <v>474</v>
      </c>
      <c r="D568" s="8">
        <v>2.99</v>
      </c>
      <c r="E568" s="4">
        <v>168</v>
      </c>
      <c r="F568" s="8">
        <v>3.12</v>
      </c>
      <c r="G568" s="4">
        <v>303</v>
      </c>
      <c r="H568" s="8">
        <v>2.9</v>
      </c>
      <c r="I568" s="4">
        <v>3</v>
      </c>
    </row>
    <row r="569" spans="1:9" x14ac:dyDescent="0.2">
      <c r="A569" s="2">
        <v>11</v>
      </c>
      <c r="B569" s="1" t="s">
        <v>119</v>
      </c>
      <c r="C569" s="4">
        <v>435</v>
      </c>
      <c r="D569" s="8">
        <v>2.74</v>
      </c>
      <c r="E569" s="4">
        <v>37</v>
      </c>
      <c r="F569" s="8">
        <v>0.69</v>
      </c>
      <c r="G569" s="4">
        <v>387</v>
      </c>
      <c r="H569" s="8">
        <v>3.71</v>
      </c>
      <c r="I569" s="4">
        <v>11</v>
      </c>
    </row>
    <row r="570" spans="1:9" x14ac:dyDescent="0.2">
      <c r="A570" s="2">
        <v>12</v>
      </c>
      <c r="B570" s="1" t="s">
        <v>103</v>
      </c>
      <c r="C570" s="4">
        <v>401</v>
      </c>
      <c r="D570" s="8">
        <v>2.5299999999999998</v>
      </c>
      <c r="E570" s="4">
        <v>17</v>
      </c>
      <c r="F570" s="8">
        <v>0.32</v>
      </c>
      <c r="G570" s="4">
        <v>384</v>
      </c>
      <c r="H570" s="8">
        <v>3.68</v>
      </c>
      <c r="I570" s="4">
        <v>0</v>
      </c>
    </row>
    <row r="571" spans="1:9" x14ac:dyDescent="0.2">
      <c r="A571" s="2">
        <v>13</v>
      </c>
      <c r="B571" s="1" t="s">
        <v>102</v>
      </c>
      <c r="C571" s="4">
        <v>347</v>
      </c>
      <c r="D571" s="8">
        <v>2.19</v>
      </c>
      <c r="E571" s="4">
        <v>6</v>
      </c>
      <c r="F571" s="8">
        <v>0.11</v>
      </c>
      <c r="G571" s="4">
        <v>341</v>
      </c>
      <c r="H571" s="8">
        <v>3.27</v>
      </c>
      <c r="I571" s="4">
        <v>0</v>
      </c>
    </row>
    <row r="572" spans="1:9" x14ac:dyDescent="0.2">
      <c r="A572" s="2">
        <v>14</v>
      </c>
      <c r="B572" s="1" t="s">
        <v>116</v>
      </c>
      <c r="C572" s="4">
        <v>336</v>
      </c>
      <c r="D572" s="8">
        <v>2.12</v>
      </c>
      <c r="E572" s="4">
        <v>262</v>
      </c>
      <c r="F572" s="8">
        <v>4.87</v>
      </c>
      <c r="G572" s="4">
        <v>73</v>
      </c>
      <c r="H572" s="8">
        <v>0.7</v>
      </c>
      <c r="I572" s="4">
        <v>1</v>
      </c>
    </row>
    <row r="573" spans="1:9" x14ac:dyDescent="0.2">
      <c r="A573" s="2">
        <v>15</v>
      </c>
      <c r="B573" s="1" t="s">
        <v>125</v>
      </c>
      <c r="C573" s="4">
        <v>306</v>
      </c>
      <c r="D573" s="8">
        <v>1.93</v>
      </c>
      <c r="E573" s="4">
        <v>10</v>
      </c>
      <c r="F573" s="8">
        <v>0.19</v>
      </c>
      <c r="G573" s="4">
        <v>295</v>
      </c>
      <c r="H573" s="8">
        <v>2.82</v>
      </c>
      <c r="I573" s="4">
        <v>1</v>
      </c>
    </row>
    <row r="574" spans="1:9" x14ac:dyDescent="0.2">
      <c r="A574" s="2">
        <v>16</v>
      </c>
      <c r="B574" s="1" t="s">
        <v>115</v>
      </c>
      <c r="C574" s="4">
        <v>298</v>
      </c>
      <c r="D574" s="8">
        <v>1.88</v>
      </c>
      <c r="E574" s="4">
        <v>140</v>
      </c>
      <c r="F574" s="8">
        <v>2.6</v>
      </c>
      <c r="G574" s="4">
        <v>152</v>
      </c>
      <c r="H574" s="8">
        <v>1.46</v>
      </c>
      <c r="I574" s="4">
        <v>3</v>
      </c>
    </row>
    <row r="575" spans="1:9" x14ac:dyDescent="0.2">
      <c r="A575" s="2">
        <v>17</v>
      </c>
      <c r="B575" s="1" t="s">
        <v>106</v>
      </c>
      <c r="C575" s="4">
        <v>278</v>
      </c>
      <c r="D575" s="8">
        <v>1.75</v>
      </c>
      <c r="E575" s="4">
        <v>131</v>
      </c>
      <c r="F575" s="8">
        <v>2.4300000000000002</v>
      </c>
      <c r="G575" s="4">
        <v>147</v>
      </c>
      <c r="H575" s="8">
        <v>1.41</v>
      </c>
      <c r="I575" s="4">
        <v>0</v>
      </c>
    </row>
    <row r="576" spans="1:9" x14ac:dyDescent="0.2">
      <c r="A576" s="2">
        <v>18</v>
      </c>
      <c r="B576" s="1" t="s">
        <v>135</v>
      </c>
      <c r="C576" s="4">
        <v>241</v>
      </c>
      <c r="D576" s="8">
        <v>1.52</v>
      </c>
      <c r="E576" s="4">
        <v>19</v>
      </c>
      <c r="F576" s="8">
        <v>0.35</v>
      </c>
      <c r="G576" s="4">
        <v>222</v>
      </c>
      <c r="H576" s="8">
        <v>2.13</v>
      </c>
      <c r="I576" s="4">
        <v>0</v>
      </c>
    </row>
    <row r="577" spans="1:9" x14ac:dyDescent="0.2">
      <c r="A577" s="2">
        <v>19</v>
      </c>
      <c r="B577" s="1" t="s">
        <v>98</v>
      </c>
      <c r="C577" s="4">
        <v>239</v>
      </c>
      <c r="D577" s="8">
        <v>1.51</v>
      </c>
      <c r="E577" s="4">
        <v>2</v>
      </c>
      <c r="F577" s="8">
        <v>0.04</v>
      </c>
      <c r="G577" s="4">
        <v>237</v>
      </c>
      <c r="H577" s="8">
        <v>2.27</v>
      </c>
      <c r="I577" s="4">
        <v>0</v>
      </c>
    </row>
    <row r="578" spans="1:9" x14ac:dyDescent="0.2">
      <c r="A578" s="2">
        <v>20</v>
      </c>
      <c r="B578" s="1" t="s">
        <v>130</v>
      </c>
      <c r="C578" s="4">
        <v>200</v>
      </c>
      <c r="D578" s="8">
        <v>1.26</v>
      </c>
      <c r="E578" s="4">
        <v>53</v>
      </c>
      <c r="F578" s="8">
        <v>0.98</v>
      </c>
      <c r="G578" s="4">
        <v>147</v>
      </c>
      <c r="H578" s="8">
        <v>1.41</v>
      </c>
      <c r="I578" s="4">
        <v>0</v>
      </c>
    </row>
    <row r="579" spans="1:9" x14ac:dyDescent="0.2">
      <c r="A579" s="1"/>
      <c r="C579" s="4"/>
      <c r="D579" s="8"/>
      <c r="E579" s="4"/>
      <c r="F579" s="8"/>
      <c r="G579" s="4"/>
      <c r="H579" s="8"/>
      <c r="I579" s="4"/>
    </row>
    <row r="580" spans="1:9" x14ac:dyDescent="0.2">
      <c r="A580" s="1" t="s">
        <v>26</v>
      </c>
      <c r="C580" s="4"/>
      <c r="D580" s="8"/>
      <c r="E580" s="4"/>
      <c r="F580" s="8"/>
      <c r="G580" s="4"/>
      <c r="H580" s="8"/>
      <c r="I580" s="4"/>
    </row>
    <row r="581" spans="1:9" x14ac:dyDescent="0.2">
      <c r="A581" s="2">
        <v>1</v>
      </c>
      <c r="B581" s="1" t="s">
        <v>113</v>
      </c>
      <c r="C581" s="4">
        <v>1610</v>
      </c>
      <c r="D581" s="8">
        <v>10.74</v>
      </c>
      <c r="E581" s="4">
        <v>1469</v>
      </c>
      <c r="F581" s="8">
        <v>19.989999999999998</v>
      </c>
      <c r="G581" s="4">
        <v>140</v>
      </c>
      <c r="H581" s="8">
        <v>1.84</v>
      </c>
      <c r="I581" s="4">
        <v>1</v>
      </c>
    </row>
    <row r="582" spans="1:9" x14ac:dyDescent="0.2">
      <c r="A582" s="2">
        <v>2</v>
      </c>
      <c r="B582" s="1" t="s">
        <v>110</v>
      </c>
      <c r="C582" s="4">
        <v>1389</v>
      </c>
      <c r="D582" s="8">
        <v>9.27</v>
      </c>
      <c r="E582" s="4">
        <v>359</v>
      </c>
      <c r="F582" s="8">
        <v>4.8899999999999997</v>
      </c>
      <c r="G582" s="4">
        <v>1028</v>
      </c>
      <c r="H582" s="8">
        <v>13.51</v>
      </c>
      <c r="I582" s="4">
        <v>1</v>
      </c>
    </row>
    <row r="583" spans="1:9" x14ac:dyDescent="0.2">
      <c r="A583" s="2">
        <v>3</v>
      </c>
      <c r="B583" s="1" t="s">
        <v>114</v>
      </c>
      <c r="C583" s="4">
        <v>1380</v>
      </c>
      <c r="D583" s="8">
        <v>9.2100000000000009</v>
      </c>
      <c r="E583" s="4">
        <v>1196</v>
      </c>
      <c r="F583" s="8">
        <v>16.28</v>
      </c>
      <c r="G583" s="4">
        <v>184</v>
      </c>
      <c r="H583" s="8">
        <v>2.42</v>
      </c>
      <c r="I583" s="4">
        <v>0</v>
      </c>
    </row>
    <row r="584" spans="1:9" x14ac:dyDescent="0.2">
      <c r="A584" s="2">
        <v>4</v>
      </c>
      <c r="B584" s="1" t="s">
        <v>98</v>
      </c>
      <c r="C584" s="4">
        <v>814</v>
      </c>
      <c r="D584" s="8">
        <v>5.43</v>
      </c>
      <c r="E584" s="4">
        <v>132</v>
      </c>
      <c r="F584" s="8">
        <v>1.8</v>
      </c>
      <c r="G584" s="4">
        <v>682</v>
      </c>
      <c r="H584" s="8">
        <v>8.9600000000000009</v>
      </c>
      <c r="I584" s="4">
        <v>0</v>
      </c>
    </row>
    <row r="585" spans="1:9" x14ac:dyDescent="0.2">
      <c r="A585" s="2">
        <v>5</v>
      </c>
      <c r="B585" s="1" t="s">
        <v>108</v>
      </c>
      <c r="C585" s="4">
        <v>785</v>
      </c>
      <c r="D585" s="8">
        <v>5.24</v>
      </c>
      <c r="E585" s="4">
        <v>474</v>
      </c>
      <c r="F585" s="8">
        <v>6.45</v>
      </c>
      <c r="G585" s="4">
        <v>310</v>
      </c>
      <c r="H585" s="8">
        <v>4.07</v>
      </c>
      <c r="I585" s="4">
        <v>1</v>
      </c>
    </row>
    <row r="586" spans="1:9" x14ac:dyDescent="0.2">
      <c r="A586" s="2">
        <v>6</v>
      </c>
      <c r="B586" s="1" t="s">
        <v>116</v>
      </c>
      <c r="C586" s="4">
        <v>673</v>
      </c>
      <c r="D586" s="8">
        <v>4.49</v>
      </c>
      <c r="E586" s="4">
        <v>574</v>
      </c>
      <c r="F586" s="8">
        <v>7.81</v>
      </c>
      <c r="G586" s="4">
        <v>99</v>
      </c>
      <c r="H586" s="8">
        <v>1.3</v>
      </c>
      <c r="I586" s="4">
        <v>0</v>
      </c>
    </row>
    <row r="587" spans="1:9" x14ac:dyDescent="0.2">
      <c r="A587" s="2">
        <v>7</v>
      </c>
      <c r="B587" s="1" t="s">
        <v>99</v>
      </c>
      <c r="C587" s="4">
        <v>616</v>
      </c>
      <c r="D587" s="8">
        <v>4.1100000000000003</v>
      </c>
      <c r="E587" s="4">
        <v>149</v>
      </c>
      <c r="F587" s="8">
        <v>2.0299999999999998</v>
      </c>
      <c r="G587" s="4">
        <v>467</v>
      </c>
      <c r="H587" s="8">
        <v>6.14</v>
      </c>
      <c r="I587" s="4">
        <v>0</v>
      </c>
    </row>
    <row r="588" spans="1:9" x14ac:dyDescent="0.2">
      <c r="A588" s="2">
        <v>8</v>
      </c>
      <c r="B588" s="1" t="s">
        <v>100</v>
      </c>
      <c r="C588" s="4">
        <v>614</v>
      </c>
      <c r="D588" s="8">
        <v>4.0999999999999996</v>
      </c>
      <c r="E588" s="4">
        <v>114</v>
      </c>
      <c r="F588" s="8">
        <v>1.55</v>
      </c>
      <c r="G588" s="4">
        <v>500</v>
      </c>
      <c r="H588" s="8">
        <v>6.57</v>
      </c>
      <c r="I588" s="4">
        <v>0</v>
      </c>
    </row>
    <row r="589" spans="1:9" x14ac:dyDescent="0.2">
      <c r="A589" s="2">
        <v>9</v>
      </c>
      <c r="B589" s="1" t="s">
        <v>115</v>
      </c>
      <c r="C589" s="4">
        <v>499</v>
      </c>
      <c r="D589" s="8">
        <v>3.33</v>
      </c>
      <c r="E589" s="4">
        <v>366</v>
      </c>
      <c r="F589" s="8">
        <v>4.9800000000000004</v>
      </c>
      <c r="G589" s="4">
        <v>130</v>
      </c>
      <c r="H589" s="8">
        <v>1.71</v>
      </c>
      <c r="I589" s="4">
        <v>1</v>
      </c>
    </row>
    <row r="590" spans="1:9" x14ac:dyDescent="0.2">
      <c r="A590" s="2">
        <v>10</v>
      </c>
      <c r="B590" s="1" t="s">
        <v>106</v>
      </c>
      <c r="C590" s="4">
        <v>496</v>
      </c>
      <c r="D590" s="8">
        <v>3.31</v>
      </c>
      <c r="E590" s="4">
        <v>369</v>
      </c>
      <c r="F590" s="8">
        <v>5.0199999999999996</v>
      </c>
      <c r="G590" s="4">
        <v>127</v>
      </c>
      <c r="H590" s="8">
        <v>1.67</v>
      </c>
      <c r="I590" s="4">
        <v>0</v>
      </c>
    </row>
    <row r="591" spans="1:9" x14ac:dyDescent="0.2">
      <c r="A591" s="2">
        <v>11</v>
      </c>
      <c r="B591" s="1" t="s">
        <v>111</v>
      </c>
      <c r="C591" s="4">
        <v>440</v>
      </c>
      <c r="D591" s="8">
        <v>2.94</v>
      </c>
      <c r="E591" s="4">
        <v>260</v>
      </c>
      <c r="F591" s="8">
        <v>3.54</v>
      </c>
      <c r="G591" s="4">
        <v>177</v>
      </c>
      <c r="H591" s="8">
        <v>2.33</v>
      </c>
      <c r="I591" s="4">
        <v>3</v>
      </c>
    </row>
    <row r="592" spans="1:9" x14ac:dyDescent="0.2">
      <c r="A592" s="2">
        <v>12</v>
      </c>
      <c r="B592" s="1" t="s">
        <v>107</v>
      </c>
      <c r="C592" s="4">
        <v>438</v>
      </c>
      <c r="D592" s="8">
        <v>2.92</v>
      </c>
      <c r="E592" s="4">
        <v>265</v>
      </c>
      <c r="F592" s="8">
        <v>3.61</v>
      </c>
      <c r="G592" s="4">
        <v>173</v>
      </c>
      <c r="H592" s="8">
        <v>2.27</v>
      </c>
      <c r="I592" s="4">
        <v>0</v>
      </c>
    </row>
    <row r="593" spans="1:9" x14ac:dyDescent="0.2">
      <c r="A593" s="2">
        <v>13</v>
      </c>
      <c r="B593" s="1" t="s">
        <v>101</v>
      </c>
      <c r="C593" s="4">
        <v>392</v>
      </c>
      <c r="D593" s="8">
        <v>2.62</v>
      </c>
      <c r="E593" s="4">
        <v>139</v>
      </c>
      <c r="F593" s="8">
        <v>1.89</v>
      </c>
      <c r="G593" s="4">
        <v>253</v>
      </c>
      <c r="H593" s="8">
        <v>3.32</v>
      </c>
      <c r="I593" s="4">
        <v>0</v>
      </c>
    </row>
    <row r="594" spans="1:9" x14ac:dyDescent="0.2">
      <c r="A594" s="2">
        <v>14</v>
      </c>
      <c r="B594" s="1" t="s">
        <v>109</v>
      </c>
      <c r="C594" s="4">
        <v>316</v>
      </c>
      <c r="D594" s="8">
        <v>2.11</v>
      </c>
      <c r="E594" s="4">
        <v>66</v>
      </c>
      <c r="F594" s="8">
        <v>0.9</v>
      </c>
      <c r="G594" s="4">
        <v>250</v>
      </c>
      <c r="H594" s="8">
        <v>3.28</v>
      </c>
      <c r="I594" s="4">
        <v>0</v>
      </c>
    </row>
    <row r="595" spans="1:9" x14ac:dyDescent="0.2">
      <c r="A595" s="2">
        <v>15</v>
      </c>
      <c r="B595" s="1" t="s">
        <v>105</v>
      </c>
      <c r="C595" s="4">
        <v>306</v>
      </c>
      <c r="D595" s="8">
        <v>2.04</v>
      </c>
      <c r="E595" s="4">
        <v>168</v>
      </c>
      <c r="F595" s="8">
        <v>2.29</v>
      </c>
      <c r="G595" s="4">
        <v>138</v>
      </c>
      <c r="H595" s="8">
        <v>1.81</v>
      </c>
      <c r="I595" s="4">
        <v>0</v>
      </c>
    </row>
    <row r="596" spans="1:9" x14ac:dyDescent="0.2">
      <c r="A596" s="2">
        <v>16</v>
      </c>
      <c r="B596" s="1" t="s">
        <v>117</v>
      </c>
      <c r="C596" s="4">
        <v>243</v>
      </c>
      <c r="D596" s="8">
        <v>1.62</v>
      </c>
      <c r="E596" s="4">
        <v>3</v>
      </c>
      <c r="F596" s="8">
        <v>0.04</v>
      </c>
      <c r="G596" s="4">
        <v>234</v>
      </c>
      <c r="H596" s="8">
        <v>3.07</v>
      </c>
      <c r="I596" s="4">
        <v>1</v>
      </c>
    </row>
    <row r="597" spans="1:9" x14ac:dyDescent="0.2">
      <c r="A597" s="2">
        <v>17</v>
      </c>
      <c r="B597" s="1" t="s">
        <v>103</v>
      </c>
      <c r="C597" s="4">
        <v>227</v>
      </c>
      <c r="D597" s="8">
        <v>1.51</v>
      </c>
      <c r="E597" s="4">
        <v>32</v>
      </c>
      <c r="F597" s="8">
        <v>0.44</v>
      </c>
      <c r="G597" s="4">
        <v>195</v>
      </c>
      <c r="H597" s="8">
        <v>2.56</v>
      </c>
      <c r="I597" s="4">
        <v>0</v>
      </c>
    </row>
    <row r="598" spans="1:9" x14ac:dyDescent="0.2">
      <c r="A598" s="2">
        <v>18</v>
      </c>
      <c r="B598" s="1" t="s">
        <v>112</v>
      </c>
      <c r="C598" s="4">
        <v>217</v>
      </c>
      <c r="D598" s="8">
        <v>1.45</v>
      </c>
      <c r="E598" s="4">
        <v>91</v>
      </c>
      <c r="F598" s="8">
        <v>1.24</v>
      </c>
      <c r="G598" s="4">
        <v>124</v>
      </c>
      <c r="H598" s="8">
        <v>1.63</v>
      </c>
      <c r="I598" s="4">
        <v>0</v>
      </c>
    </row>
    <row r="599" spans="1:9" x14ac:dyDescent="0.2">
      <c r="A599" s="2">
        <v>19</v>
      </c>
      <c r="B599" s="1" t="s">
        <v>104</v>
      </c>
      <c r="C599" s="4">
        <v>216</v>
      </c>
      <c r="D599" s="8">
        <v>1.44</v>
      </c>
      <c r="E599" s="4">
        <v>57</v>
      </c>
      <c r="F599" s="8">
        <v>0.78</v>
      </c>
      <c r="G599" s="4">
        <v>159</v>
      </c>
      <c r="H599" s="8">
        <v>2.09</v>
      </c>
      <c r="I599" s="4">
        <v>0</v>
      </c>
    </row>
    <row r="600" spans="1:9" x14ac:dyDescent="0.2">
      <c r="A600" s="2">
        <v>20</v>
      </c>
      <c r="B600" s="1" t="s">
        <v>102</v>
      </c>
      <c r="C600" s="4">
        <v>193</v>
      </c>
      <c r="D600" s="8">
        <v>1.29</v>
      </c>
      <c r="E600" s="4">
        <v>41</v>
      </c>
      <c r="F600" s="8">
        <v>0.56000000000000005</v>
      </c>
      <c r="G600" s="4">
        <v>152</v>
      </c>
      <c r="H600" s="8">
        <v>2</v>
      </c>
      <c r="I600" s="4">
        <v>0</v>
      </c>
    </row>
    <row r="601" spans="1:9" x14ac:dyDescent="0.2">
      <c r="A601" s="1"/>
      <c r="C601" s="4"/>
      <c r="D601" s="8"/>
      <c r="E601" s="4"/>
      <c r="F601" s="8"/>
      <c r="G601" s="4"/>
      <c r="H601" s="8"/>
      <c r="I601" s="4"/>
    </row>
    <row r="602" spans="1:9" x14ac:dyDescent="0.2">
      <c r="A602" s="1" t="s">
        <v>27</v>
      </c>
      <c r="C602" s="4"/>
      <c r="D602" s="8"/>
      <c r="E602" s="4"/>
      <c r="F602" s="8"/>
      <c r="G602" s="4"/>
      <c r="H602" s="8"/>
      <c r="I602" s="4"/>
    </row>
    <row r="603" spans="1:9" x14ac:dyDescent="0.2">
      <c r="A603" s="2">
        <v>1</v>
      </c>
      <c r="B603" s="1" t="s">
        <v>113</v>
      </c>
      <c r="C603" s="4">
        <v>604</v>
      </c>
      <c r="D603" s="8">
        <v>15.04</v>
      </c>
      <c r="E603" s="4">
        <v>549</v>
      </c>
      <c r="F603" s="8">
        <v>27.08</v>
      </c>
      <c r="G603" s="4">
        <v>54</v>
      </c>
      <c r="H603" s="8">
        <v>2.74</v>
      </c>
      <c r="I603" s="4">
        <v>1</v>
      </c>
    </row>
    <row r="604" spans="1:9" x14ac:dyDescent="0.2">
      <c r="A604" s="2">
        <v>2</v>
      </c>
      <c r="B604" s="1" t="s">
        <v>114</v>
      </c>
      <c r="C604" s="4">
        <v>325</v>
      </c>
      <c r="D604" s="8">
        <v>8.09</v>
      </c>
      <c r="E604" s="4">
        <v>277</v>
      </c>
      <c r="F604" s="8">
        <v>13.67</v>
      </c>
      <c r="G604" s="4">
        <v>48</v>
      </c>
      <c r="H604" s="8">
        <v>2.4300000000000002</v>
      </c>
      <c r="I604" s="4">
        <v>0</v>
      </c>
    </row>
    <row r="605" spans="1:9" x14ac:dyDescent="0.2">
      <c r="A605" s="2">
        <v>3</v>
      </c>
      <c r="B605" s="1" t="s">
        <v>110</v>
      </c>
      <c r="C605" s="4">
        <v>286</v>
      </c>
      <c r="D605" s="8">
        <v>7.12</v>
      </c>
      <c r="E605" s="4">
        <v>52</v>
      </c>
      <c r="F605" s="8">
        <v>2.57</v>
      </c>
      <c r="G605" s="4">
        <v>232</v>
      </c>
      <c r="H605" s="8">
        <v>11.76</v>
      </c>
      <c r="I605" s="4">
        <v>1</v>
      </c>
    </row>
    <row r="606" spans="1:9" x14ac:dyDescent="0.2">
      <c r="A606" s="2">
        <v>4</v>
      </c>
      <c r="B606" s="1" t="s">
        <v>108</v>
      </c>
      <c r="C606" s="4">
        <v>255</v>
      </c>
      <c r="D606" s="8">
        <v>6.35</v>
      </c>
      <c r="E606" s="4">
        <v>153</v>
      </c>
      <c r="F606" s="8">
        <v>7.55</v>
      </c>
      <c r="G606" s="4">
        <v>101</v>
      </c>
      <c r="H606" s="8">
        <v>5.12</v>
      </c>
      <c r="I606" s="4">
        <v>1</v>
      </c>
    </row>
    <row r="607" spans="1:9" x14ac:dyDescent="0.2">
      <c r="A607" s="2">
        <v>5</v>
      </c>
      <c r="B607" s="1" t="s">
        <v>111</v>
      </c>
      <c r="C607" s="4">
        <v>188</v>
      </c>
      <c r="D607" s="8">
        <v>4.68</v>
      </c>
      <c r="E607" s="4">
        <v>133</v>
      </c>
      <c r="F607" s="8">
        <v>6.56</v>
      </c>
      <c r="G607" s="4">
        <v>53</v>
      </c>
      <c r="H607" s="8">
        <v>2.69</v>
      </c>
      <c r="I607" s="4">
        <v>2</v>
      </c>
    </row>
    <row r="608" spans="1:9" x14ac:dyDescent="0.2">
      <c r="A608" s="2">
        <v>6</v>
      </c>
      <c r="B608" s="1" t="s">
        <v>116</v>
      </c>
      <c r="C608" s="4">
        <v>178</v>
      </c>
      <c r="D608" s="8">
        <v>4.43</v>
      </c>
      <c r="E608" s="4">
        <v>153</v>
      </c>
      <c r="F608" s="8">
        <v>7.55</v>
      </c>
      <c r="G608" s="4">
        <v>25</v>
      </c>
      <c r="H608" s="8">
        <v>1.27</v>
      </c>
      <c r="I608" s="4">
        <v>0</v>
      </c>
    </row>
    <row r="609" spans="1:9" x14ac:dyDescent="0.2">
      <c r="A609" s="2">
        <v>7</v>
      </c>
      <c r="B609" s="1" t="s">
        <v>106</v>
      </c>
      <c r="C609" s="4">
        <v>161</v>
      </c>
      <c r="D609" s="8">
        <v>4.01</v>
      </c>
      <c r="E609" s="4">
        <v>114</v>
      </c>
      <c r="F609" s="8">
        <v>5.62</v>
      </c>
      <c r="G609" s="4">
        <v>47</v>
      </c>
      <c r="H609" s="8">
        <v>2.38</v>
      </c>
      <c r="I609" s="4">
        <v>0</v>
      </c>
    </row>
    <row r="610" spans="1:9" x14ac:dyDescent="0.2">
      <c r="A610" s="2">
        <v>8</v>
      </c>
      <c r="B610" s="1" t="s">
        <v>115</v>
      </c>
      <c r="C610" s="4">
        <v>137</v>
      </c>
      <c r="D610" s="8">
        <v>3.41</v>
      </c>
      <c r="E610" s="4">
        <v>96</v>
      </c>
      <c r="F610" s="8">
        <v>4.74</v>
      </c>
      <c r="G610" s="4">
        <v>40</v>
      </c>
      <c r="H610" s="8">
        <v>2.0299999999999998</v>
      </c>
      <c r="I610" s="4">
        <v>0</v>
      </c>
    </row>
    <row r="611" spans="1:9" x14ac:dyDescent="0.2">
      <c r="A611" s="2">
        <v>9</v>
      </c>
      <c r="B611" s="1" t="s">
        <v>100</v>
      </c>
      <c r="C611" s="4">
        <v>135</v>
      </c>
      <c r="D611" s="8">
        <v>3.36</v>
      </c>
      <c r="E611" s="4">
        <v>20</v>
      </c>
      <c r="F611" s="8">
        <v>0.99</v>
      </c>
      <c r="G611" s="4">
        <v>115</v>
      </c>
      <c r="H611" s="8">
        <v>5.83</v>
      </c>
      <c r="I611" s="4">
        <v>0</v>
      </c>
    </row>
    <row r="612" spans="1:9" x14ac:dyDescent="0.2">
      <c r="A612" s="2">
        <v>10</v>
      </c>
      <c r="B612" s="1" t="s">
        <v>98</v>
      </c>
      <c r="C612" s="4">
        <v>131</v>
      </c>
      <c r="D612" s="8">
        <v>3.26</v>
      </c>
      <c r="E612" s="4">
        <v>19</v>
      </c>
      <c r="F612" s="8">
        <v>0.94</v>
      </c>
      <c r="G612" s="4">
        <v>112</v>
      </c>
      <c r="H612" s="8">
        <v>5.68</v>
      </c>
      <c r="I612" s="4">
        <v>0</v>
      </c>
    </row>
    <row r="613" spans="1:9" x14ac:dyDescent="0.2">
      <c r="A613" s="2">
        <v>11</v>
      </c>
      <c r="B613" s="1" t="s">
        <v>101</v>
      </c>
      <c r="C613" s="4">
        <v>119</v>
      </c>
      <c r="D613" s="8">
        <v>2.96</v>
      </c>
      <c r="E613" s="4">
        <v>51</v>
      </c>
      <c r="F613" s="8">
        <v>2.52</v>
      </c>
      <c r="G613" s="4">
        <v>68</v>
      </c>
      <c r="H613" s="8">
        <v>3.45</v>
      </c>
      <c r="I613" s="4">
        <v>0</v>
      </c>
    </row>
    <row r="614" spans="1:9" x14ac:dyDescent="0.2">
      <c r="A614" s="2">
        <v>12</v>
      </c>
      <c r="B614" s="1" t="s">
        <v>99</v>
      </c>
      <c r="C614" s="4">
        <v>111</v>
      </c>
      <c r="D614" s="8">
        <v>2.76</v>
      </c>
      <c r="E614" s="4">
        <v>32</v>
      </c>
      <c r="F614" s="8">
        <v>1.58</v>
      </c>
      <c r="G614" s="4">
        <v>79</v>
      </c>
      <c r="H614" s="8">
        <v>4</v>
      </c>
      <c r="I614" s="4">
        <v>0</v>
      </c>
    </row>
    <row r="615" spans="1:9" x14ac:dyDescent="0.2">
      <c r="A615" s="2">
        <v>13</v>
      </c>
      <c r="B615" s="1" t="s">
        <v>109</v>
      </c>
      <c r="C615" s="4">
        <v>102</v>
      </c>
      <c r="D615" s="8">
        <v>2.54</v>
      </c>
      <c r="E615" s="4">
        <v>20</v>
      </c>
      <c r="F615" s="8">
        <v>0.99</v>
      </c>
      <c r="G615" s="4">
        <v>82</v>
      </c>
      <c r="H615" s="8">
        <v>4.16</v>
      </c>
      <c r="I615" s="4">
        <v>0</v>
      </c>
    </row>
    <row r="616" spans="1:9" x14ac:dyDescent="0.2">
      <c r="A616" s="2">
        <v>14</v>
      </c>
      <c r="B616" s="1" t="s">
        <v>105</v>
      </c>
      <c r="C616" s="4">
        <v>100</v>
      </c>
      <c r="D616" s="8">
        <v>2.4900000000000002</v>
      </c>
      <c r="E616" s="4">
        <v>49</v>
      </c>
      <c r="F616" s="8">
        <v>2.42</v>
      </c>
      <c r="G616" s="4">
        <v>51</v>
      </c>
      <c r="H616" s="8">
        <v>2.58</v>
      </c>
      <c r="I616" s="4">
        <v>0</v>
      </c>
    </row>
    <row r="617" spans="1:9" x14ac:dyDescent="0.2">
      <c r="A617" s="2">
        <v>15</v>
      </c>
      <c r="B617" s="1" t="s">
        <v>103</v>
      </c>
      <c r="C617" s="4">
        <v>79</v>
      </c>
      <c r="D617" s="8">
        <v>1.97</v>
      </c>
      <c r="E617" s="4">
        <v>5</v>
      </c>
      <c r="F617" s="8">
        <v>0.25</v>
      </c>
      <c r="G617" s="4">
        <v>74</v>
      </c>
      <c r="H617" s="8">
        <v>3.75</v>
      </c>
      <c r="I617" s="4">
        <v>0</v>
      </c>
    </row>
    <row r="618" spans="1:9" x14ac:dyDescent="0.2">
      <c r="A618" s="2">
        <v>16</v>
      </c>
      <c r="B618" s="1" t="s">
        <v>104</v>
      </c>
      <c r="C618" s="4">
        <v>73</v>
      </c>
      <c r="D618" s="8">
        <v>1.82</v>
      </c>
      <c r="E618" s="4">
        <v>22</v>
      </c>
      <c r="F618" s="8">
        <v>1.0900000000000001</v>
      </c>
      <c r="G618" s="4">
        <v>51</v>
      </c>
      <c r="H618" s="8">
        <v>2.58</v>
      </c>
      <c r="I618" s="4">
        <v>0</v>
      </c>
    </row>
    <row r="619" spans="1:9" x14ac:dyDescent="0.2">
      <c r="A619" s="2">
        <v>16</v>
      </c>
      <c r="B619" s="1" t="s">
        <v>107</v>
      </c>
      <c r="C619" s="4">
        <v>73</v>
      </c>
      <c r="D619" s="8">
        <v>1.82</v>
      </c>
      <c r="E619" s="4">
        <v>36</v>
      </c>
      <c r="F619" s="8">
        <v>1.78</v>
      </c>
      <c r="G619" s="4">
        <v>37</v>
      </c>
      <c r="H619" s="8">
        <v>1.88</v>
      </c>
      <c r="I619" s="4">
        <v>0</v>
      </c>
    </row>
    <row r="620" spans="1:9" x14ac:dyDescent="0.2">
      <c r="A620" s="2">
        <v>18</v>
      </c>
      <c r="B620" s="1" t="s">
        <v>117</v>
      </c>
      <c r="C620" s="4">
        <v>69</v>
      </c>
      <c r="D620" s="8">
        <v>1.72</v>
      </c>
      <c r="E620" s="4">
        <v>0</v>
      </c>
      <c r="F620" s="8">
        <v>0</v>
      </c>
      <c r="G620" s="4">
        <v>67</v>
      </c>
      <c r="H620" s="8">
        <v>3.4</v>
      </c>
      <c r="I620" s="4">
        <v>1</v>
      </c>
    </row>
    <row r="621" spans="1:9" x14ac:dyDescent="0.2">
      <c r="A621" s="2">
        <v>19</v>
      </c>
      <c r="B621" s="1" t="s">
        <v>112</v>
      </c>
      <c r="C621" s="4">
        <v>62</v>
      </c>
      <c r="D621" s="8">
        <v>1.54</v>
      </c>
      <c r="E621" s="4">
        <v>27</v>
      </c>
      <c r="F621" s="8">
        <v>1.33</v>
      </c>
      <c r="G621" s="4">
        <v>33</v>
      </c>
      <c r="H621" s="8">
        <v>1.67</v>
      </c>
      <c r="I621" s="4">
        <v>0</v>
      </c>
    </row>
    <row r="622" spans="1:9" x14ac:dyDescent="0.2">
      <c r="A622" s="2">
        <v>20</v>
      </c>
      <c r="B622" s="1" t="s">
        <v>102</v>
      </c>
      <c r="C622" s="4">
        <v>60</v>
      </c>
      <c r="D622" s="8">
        <v>1.49</v>
      </c>
      <c r="E622" s="4">
        <v>12</v>
      </c>
      <c r="F622" s="8">
        <v>0.59</v>
      </c>
      <c r="G622" s="4">
        <v>48</v>
      </c>
      <c r="H622" s="8">
        <v>2.4300000000000002</v>
      </c>
      <c r="I622" s="4">
        <v>0</v>
      </c>
    </row>
    <row r="623" spans="1:9" x14ac:dyDescent="0.2">
      <c r="A623" s="1"/>
      <c r="C623" s="4"/>
      <c r="D623" s="8"/>
      <c r="E623" s="4"/>
      <c r="F623" s="8"/>
      <c r="G623" s="4"/>
      <c r="H623" s="8"/>
      <c r="I623" s="4"/>
    </row>
    <row r="624" spans="1:9" x14ac:dyDescent="0.2">
      <c r="A624" s="1" t="s">
        <v>28</v>
      </c>
      <c r="C624" s="4"/>
      <c r="D624" s="8"/>
      <c r="E624" s="4"/>
      <c r="F624" s="8"/>
      <c r="G624" s="4"/>
      <c r="H624" s="8"/>
      <c r="I624" s="4"/>
    </row>
    <row r="625" spans="1:9" x14ac:dyDescent="0.2">
      <c r="A625" s="2">
        <v>1</v>
      </c>
      <c r="B625" s="1" t="s">
        <v>113</v>
      </c>
      <c r="C625" s="4">
        <v>213</v>
      </c>
      <c r="D625" s="8">
        <v>9.57</v>
      </c>
      <c r="E625" s="4">
        <v>200</v>
      </c>
      <c r="F625" s="8">
        <v>17.61</v>
      </c>
      <c r="G625" s="4">
        <v>13</v>
      </c>
      <c r="H625" s="8">
        <v>1.19</v>
      </c>
      <c r="I625" s="4">
        <v>0</v>
      </c>
    </row>
    <row r="626" spans="1:9" x14ac:dyDescent="0.2">
      <c r="A626" s="2">
        <v>2</v>
      </c>
      <c r="B626" s="1" t="s">
        <v>114</v>
      </c>
      <c r="C626" s="4">
        <v>204</v>
      </c>
      <c r="D626" s="8">
        <v>9.16</v>
      </c>
      <c r="E626" s="4">
        <v>183</v>
      </c>
      <c r="F626" s="8">
        <v>16.11</v>
      </c>
      <c r="G626" s="4">
        <v>21</v>
      </c>
      <c r="H626" s="8">
        <v>1.93</v>
      </c>
      <c r="I626" s="4">
        <v>0</v>
      </c>
    </row>
    <row r="627" spans="1:9" x14ac:dyDescent="0.2">
      <c r="A627" s="2">
        <v>3</v>
      </c>
      <c r="B627" s="1" t="s">
        <v>110</v>
      </c>
      <c r="C627" s="4">
        <v>196</v>
      </c>
      <c r="D627" s="8">
        <v>8.81</v>
      </c>
      <c r="E627" s="4">
        <v>58</v>
      </c>
      <c r="F627" s="8">
        <v>5.1100000000000003</v>
      </c>
      <c r="G627" s="4">
        <v>138</v>
      </c>
      <c r="H627" s="8">
        <v>12.67</v>
      </c>
      <c r="I627" s="4">
        <v>0</v>
      </c>
    </row>
    <row r="628" spans="1:9" x14ac:dyDescent="0.2">
      <c r="A628" s="2">
        <v>4</v>
      </c>
      <c r="B628" s="1" t="s">
        <v>98</v>
      </c>
      <c r="C628" s="4">
        <v>159</v>
      </c>
      <c r="D628" s="8">
        <v>7.14</v>
      </c>
      <c r="E628" s="4">
        <v>30</v>
      </c>
      <c r="F628" s="8">
        <v>2.64</v>
      </c>
      <c r="G628" s="4">
        <v>129</v>
      </c>
      <c r="H628" s="8">
        <v>11.85</v>
      </c>
      <c r="I628" s="4">
        <v>0</v>
      </c>
    </row>
    <row r="629" spans="1:9" x14ac:dyDescent="0.2">
      <c r="A629" s="2">
        <v>5</v>
      </c>
      <c r="B629" s="1" t="s">
        <v>99</v>
      </c>
      <c r="C629" s="4">
        <v>124</v>
      </c>
      <c r="D629" s="8">
        <v>5.57</v>
      </c>
      <c r="E629" s="4">
        <v>28</v>
      </c>
      <c r="F629" s="8">
        <v>2.46</v>
      </c>
      <c r="G629" s="4">
        <v>96</v>
      </c>
      <c r="H629" s="8">
        <v>8.82</v>
      </c>
      <c r="I629" s="4">
        <v>0</v>
      </c>
    </row>
    <row r="630" spans="1:9" x14ac:dyDescent="0.2">
      <c r="A630" s="2">
        <v>6</v>
      </c>
      <c r="B630" s="1" t="s">
        <v>100</v>
      </c>
      <c r="C630" s="4">
        <v>111</v>
      </c>
      <c r="D630" s="8">
        <v>4.99</v>
      </c>
      <c r="E630" s="4">
        <v>24</v>
      </c>
      <c r="F630" s="8">
        <v>2.11</v>
      </c>
      <c r="G630" s="4">
        <v>87</v>
      </c>
      <c r="H630" s="8">
        <v>7.99</v>
      </c>
      <c r="I630" s="4">
        <v>0</v>
      </c>
    </row>
    <row r="631" spans="1:9" x14ac:dyDescent="0.2">
      <c r="A631" s="2">
        <v>7</v>
      </c>
      <c r="B631" s="1" t="s">
        <v>108</v>
      </c>
      <c r="C631" s="4">
        <v>105</v>
      </c>
      <c r="D631" s="8">
        <v>4.72</v>
      </c>
      <c r="E631" s="4">
        <v>76</v>
      </c>
      <c r="F631" s="8">
        <v>6.69</v>
      </c>
      <c r="G631" s="4">
        <v>29</v>
      </c>
      <c r="H631" s="8">
        <v>2.66</v>
      </c>
      <c r="I631" s="4">
        <v>0</v>
      </c>
    </row>
    <row r="632" spans="1:9" x14ac:dyDescent="0.2">
      <c r="A632" s="2">
        <v>8</v>
      </c>
      <c r="B632" s="1" t="s">
        <v>107</v>
      </c>
      <c r="C632" s="4">
        <v>91</v>
      </c>
      <c r="D632" s="8">
        <v>4.09</v>
      </c>
      <c r="E632" s="4">
        <v>54</v>
      </c>
      <c r="F632" s="8">
        <v>4.75</v>
      </c>
      <c r="G632" s="4">
        <v>37</v>
      </c>
      <c r="H632" s="8">
        <v>3.4</v>
      </c>
      <c r="I632" s="4">
        <v>0</v>
      </c>
    </row>
    <row r="633" spans="1:9" x14ac:dyDescent="0.2">
      <c r="A633" s="2">
        <v>9</v>
      </c>
      <c r="B633" s="1" t="s">
        <v>116</v>
      </c>
      <c r="C633" s="4">
        <v>89</v>
      </c>
      <c r="D633" s="8">
        <v>4</v>
      </c>
      <c r="E633" s="4">
        <v>78</v>
      </c>
      <c r="F633" s="8">
        <v>6.87</v>
      </c>
      <c r="G633" s="4">
        <v>11</v>
      </c>
      <c r="H633" s="8">
        <v>1.01</v>
      </c>
      <c r="I633" s="4">
        <v>0</v>
      </c>
    </row>
    <row r="634" spans="1:9" x14ac:dyDescent="0.2">
      <c r="A634" s="2">
        <v>10</v>
      </c>
      <c r="B634" s="1" t="s">
        <v>115</v>
      </c>
      <c r="C634" s="4">
        <v>65</v>
      </c>
      <c r="D634" s="8">
        <v>2.92</v>
      </c>
      <c r="E634" s="4">
        <v>50</v>
      </c>
      <c r="F634" s="8">
        <v>4.4000000000000004</v>
      </c>
      <c r="G634" s="4">
        <v>14</v>
      </c>
      <c r="H634" s="8">
        <v>1.29</v>
      </c>
      <c r="I634" s="4">
        <v>0</v>
      </c>
    </row>
    <row r="635" spans="1:9" x14ac:dyDescent="0.2">
      <c r="A635" s="2">
        <v>11</v>
      </c>
      <c r="B635" s="1" t="s">
        <v>101</v>
      </c>
      <c r="C635" s="4">
        <v>63</v>
      </c>
      <c r="D635" s="8">
        <v>2.83</v>
      </c>
      <c r="E635" s="4">
        <v>25</v>
      </c>
      <c r="F635" s="8">
        <v>2.2000000000000002</v>
      </c>
      <c r="G635" s="4">
        <v>38</v>
      </c>
      <c r="H635" s="8">
        <v>3.49</v>
      </c>
      <c r="I635" s="4">
        <v>0</v>
      </c>
    </row>
    <row r="636" spans="1:9" x14ac:dyDescent="0.2">
      <c r="A636" s="2">
        <v>12</v>
      </c>
      <c r="B636" s="1" t="s">
        <v>106</v>
      </c>
      <c r="C636" s="4">
        <v>57</v>
      </c>
      <c r="D636" s="8">
        <v>2.56</v>
      </c>
      <c r="E636" s="4">
        <v>44</v>
      </c>
      <c r="F636" s="8">
        <v>3.87</v>
      </c>
      <c r="G636" s="4">
        <v>13</v>
      </c>
      <c r="H636" s="8">
        <v>1.19</v>
      </c>
      <c r="I636" s="4">
        <v>0</v>
      </c>
    </row>
    <row r="637" spans="1:9" x14ac:dyDescent="0.2">
      <c r="A637" s="2">
        <v>13</v>
      </c>
      <c r="B637" s="1" t="s">
        <v>129</v>
      </c>
      <c r="C637" s="4">
        <v>47</v>
      </c>
      <c r="D637" s="8">
        <v>2.11</v>
      </c>
      <c r="E637" s="4">
        <v>28</v>
      </c>
      <c r="F637" s="8">
        <v>2.46</v>
      </c>
      <c r="G637" s="4">
        <v>19</v>
      </c>
      <c r="H637" s="8">
        <v>1.74</v>
      </c>
      <c r="I637" s="4">
        <v>0</v>
      </c>
    </row>
    <row r="638" spans="1:9" x14ac:dyDescent="0.2">
      <c r="A638" s="2">
        <v>14</v>
      </c>
      <c r="B638" s="1" t="s">
        <v>109</v>
      </c>
      <c r="C638" s="4">
        <v>44</v>
      </c>
      <c r="D638" s="8">
        <v>1.98</v>
      </c>
      <c r="E638" s="4">
        <v>10</v>
      </c>
      <c r="F638" s="8">
        <v>0.88</v>
      </c>
      <c r="G638" s="4">
        <v>34</v>
      </c>
      <c r="H638" s="8">
        <v>3.12</v>
      </c>
      <c r="I638" s="4">
        <v>0</v>
      </c>
    </row>
    <row r="639" spans="1:9" x14ac:dyDescent="0.2">
      <c r="A639" s="2">
        <v>15</v>
      </c>
      <c r="B639" s="1" t="s">
        <v>140</v>
      </c>
      <c r="C639" s="4">
        <v>37</v>
      </c>
      <c r="D639" s="8">
        <v>1.66</v>
      </c>
      <c r="E639" s="4">
        <v>36</v>
      </c>
      <c r="F639" s="8">
        <v>3.17</v>
      </c>
      <c r="G639" s="4">
        <v>1</v>
      </c>
      <c r="H639" s="8">
        <v>0.09</v>
      </c>
      <c r="I639" s="4">
        <v>0</v>
      </c>
    </row>
    <row r="640" spans="1:9" x14ac:dyDescent="0.2">
      <c r="A640" s="2">
        <v>16</v>
      </c>
      <c r="B640" s="1" t="s">
        <v>120</v>
      </c>
      <c r="C640" s="4">
        <v>36</v>
      </c>
      <c r="D640" s="8">
        <v>1.62</v>
      </c>
      <c r="E640" s="4">
        <v>14</v>
      </c>
      <c r="F640" s="8">
        <v>1.23</v>
      </c>
      <c r="G640" s="4">
        <v>22</v>
      </c>
      <c r="H640" s="8">
        <v>2.02</v>
      </c>
      <c r="I640" s="4">
        <v>0</v>
      </c>
    </row>
    <row r="641" spans="1:9" x14ac:dyDescent="0.2">
      <c r="A641" s="2">
        <v>17</v>
      </c>
      <c r="B641" s="1" t="s">
        <v>112</v>
      </c>
      <c r="C641" s="4">
        <v>32</v>
      </c>
      <c r="D641" s="8">
        <v>1.44</v>
      </c>
      <c r="E641" s="4">
        <v>13</v>
      </c>
      <c r="F641" s="8">
        <v>1.1399999999999999</v>
      </c>
      <c r="G641" s="4">
        <v>19</v>
      </c>
      <c r="H641" s="8">
        <v>1.74</v>
      </c>
      <c r="I641" s="4">
        <v>0</v>
      </c>
    </row>
    <row r="642" spans="1:9" x14ac:dyDescent="0.2">
      <c r="A642" s="2">
        <v>18</v>
      </c>
      <c r="B642" s="1" t="s">
        <v>117</v>
      </c>
      <c r="C642" s="4">
        <v>31</v>
      </c>
      <c r="D642" s="8">
        <v>1.39</v>
      </c>
      <c r="E642" s="4">
        <v>0</v>
      </c>
      <c r="F642" s="8">
        <v>0</v>
      </c>
      <c r="G642" s="4">
        <v>31</v>
      </c>
      <c r="H642" s="8">
        <v>2.85</v>
      </c>
      <c r="I642" s="4">
        <v>0</v>
      </c>
    </row>
    <row r="643" spans="1:9" x14ac:dyDescent="0.2">
      <c r="A643" s="2">
        <v>19</v>
      </c>
      <c r="B643" s="1" t="s">
        <v>111</v>
      </c>
      <c r="C643" s="4">
        <v>30</v>
      </c>
      <c r="D643" s="8">
        <v>1.35</v>
      </c>
      <c r="E643" s="4">
        <v>22</v>
      </c>
      <c r="F643" s="8">
        <v>1.94</v>
      </c>
      <c r="G643" s="4">
        <v>8</v>
      </c>
      <c r="H643" s="8">
        <v>0.73</v>
      </c>
      <c r="I643" s="4">
        <v>0</v>
      </c>
    </row>
    <row r="644" spans="1:9" x14ac:dyDescent="0.2">
      <c r="A644" s="2">
        <v>20</v>
      </c>
      <c r="B644" s="1" t="s">
        <v>105</v>
      </c>
      <c r="C644" s="4">
        <v>27</v>
      </c>
      <c r="D644" s="8">
        <v>1.21</v>
      </c>
      <c r="E644" s="4">
        <v>22</v>
      </c>
      <c r="F644" s="8">
        <v>1.94</v>
      </c>
      <c r="G644" s="4">
        <v>5</v>
      </c>
      <c r="H644" s="8">
        <v>0.46</v>
      </c>
      <c r="I644" s="4">
        <v>0</v>
      </c>
    </row>
    <row r="645" spans="1:9" x14ac:dyDescent="0.2">
      <c r="A645" s="1"/>
      <c r="C645" s="4"/>
      <c r="D645" s="8"/>
      <c r="E645" s="4"/>
      <c r="F645" s="8"/>
      <c r="G645" s="4"/>
      <c r="H645" s="8"/>
      <c r="I645" s="4"/>
    </row>
    <row r="646" spans="1:9" x14ac:dyDescent="0.2">
      <c r="A646" s="1" t="s">
        <v>29</v>
      </c>
      <c r="C646" s="4"/>
      <c r="D646" s="8"/>
      <c r="E646" s="4"/>
      <c r="F646" s="8"/>
      <c r="G646" s="4"/>
      <c r="H646" s="8"/>
      <c r="I646" s="4"/>
    </row>
    <row r="647" spans="1:9" x14ac:dyDescent="0.2">
      <c r="A647" s="2">
        <v>1</v>
      </c>
      <c r="B647" s="1" t="s">
        <v>114</v>
      </c>
      <c r="C647" s="4">
        <v>201</v>
      </c>
      <c r="D647" s="8">
        <v>15.15</v>
      </c>
      <c r="E647" s="4">
        <v>182</v>
      </c>
      <c r="F647" s="8">
        <v>22.44</v>
      </c>
      <c r="G647" s="4">
        <v>19</v>
      </c>
      <c r="H647" s="8">
        <v>3.7</v>
      </c>
      <c r="I647" s="4">
        <v>0</v>
      </c>
    </row>
    <row r="648" spans="1:9" x14ac:dyDescent="0.2">
      <c r="A648" s="2">
        <v>2</v>
      </c>
      <c r="B648" s="1" t="s">
        <v>110</v>
      </c>
      <c r="C648" s="4">
        <v>145</v>
      </c>
      <c r="D648" s="8">
        <v>10.93</v>
      </c>
      <c r="E648" s="4">
        <v>60</v>
      </c>
      <c r="F648" s="8">
        <v>7.4</v>
      </c>
      <c r="G648" s="4">
        <v>85</v>
      </c>
      <c r="H648" s="8">
        <v>16.54</v>
      </c>
      <c r="I648" s="4">
        <v>0</v>
      </c>
    </row>
    <row r="649" spans="1:9" x14ac:dyDescent="0.2">
      <c r="A649" s="2">
        <v>3</v>
      </c>
      <c r="B649" s="1" t="s">
        <v>113</v>
      </c>
      <c r="C649" s="4">
        <v>144</v>
      </c>
      <c r="D649" s="8">
        <v>10.85</v>
      </c>
      <c r="E649" s="4">
        <v>141</v>
      </c>
      <c r="F649" s="8">
        <v>17.39</v>
      </c>
      <c r="G649" s="4">
        <v>3</v>
      </c>
      <c r="H649" s="8">
        <v>0.57999999999999996</v>
      </c>
      <c r="I649" s="4">
        <v>0</v>
      </c>
    </row>
    <row r="650" spans="1:9" x14ac:dyDescent="0.2">
      <c r="A650" s="2">
        <v>4</v>
      </c>
      <c r="B650" s="1" t="s">
        <v>116</v>
      </c>
      <c r="C650" s="4">
        <v>88</v>
      </c>
      <c r="D650" s="8">
        <v>6.63</v>
      </c>
      <c r="E650" s="4">
        <v>76</v>
      </c>
      <c r="F650" s="8">
        <v>9.3699999999999992</v>
      </c>
      <c r="G650" s="4">
        <v>12</v>
      </c>
      <c r="H650" s="8">
        <v>2.33</v>
      </c>
      <c r="I650" s="4">
        <v>0</v>
      </c>
    </row>
    <row r="651" spans="1:9" x14ac:dyDescent="0.2">
      <c r="A651" s="2">
        <v>5</v>
      </c>
      <c r="B651" s="1" t="s">
        <v>108</v>
      </c>
      <c r="C651" s="4">
        <v>84</v>
      </c>
      <c r="D651" s="8">
        <v>6.33</v>
      </c>
      <c r="E651" s="4">
        <v>53</v>
      </c>
      <c r="F651" s="8">
        <v>6.54</v>
      </c>
      <c r="G651" s="4">
        <v>31</v>
      </c>
      <c r="H651" s="8">
        <v>6.03</v>
      </c>
      <c r="I651" s="4">
        <v>0</v>
      </c>
    </row>
    <row r="652" spans="1:9" x14ac:dyDescent="0.2">
      <c r="A652" s="2">
        <v>6</v>
      </c>
      <c r="B652" s="1" t="s">
        <v>115</v>
      </c>
      <c r="C652" s="4">
        <v>57</v>
      </c>
      <c r="D652" s="8">
        <v>4.3</v>
      </c>
      <c r="E652" s="4">
        <v>48</v>
      </c>
      <c r="F652" s="8">
        <v>5.92</v>
      </c>
      <c r="G652" s="4">
        <v>9</v>
      </c>
      <c r="H652" s="8">
        <v>1.75</v>
      </c>
      <c r="I652" s="4">
        <v>0</v>
      </c>
    </row>
    <row r="653" spans="1:9" x14ac:dyDescent="0.2">
      <c r="A653" s="2">
        <v>7</v>
      </c>
      <c r="B653" s="1" t="s">
        <v>98</v>
      </c>
      <c r="C653" s="4">
        <v>56</v>
      </c>
      <c r="D653" s="8">
        <v>4.22</v>
      </c>
      <c r="E653" s="4">
        <v>15</v>
      </c>
      <c r="F653" s="8">
        <v>1.85</v>
      </c>
      <c r="G653" s="4">
        <v>41</v>
      </c>
      <c r="H653" s="8">
        <v>7.98</v>
      </c>
      <c r="I653" s="4">
        <v>0</v>
      </c>
    </row>
    <row r="654" spans="1:9" x14ac:dyDescent="0.2">
      <c r="A654" s="2">
        <v>8</v>
      </c>
      <c r="B654" s="1" t="s">
        <v>99</v>
      </c>
      <c r="C654" s="4">
        <v>51</v>
      </c>
      <c r="D654" s="8">
        <v>3.84</v>
      </c>
      <c r="E654" s="4">
        <v>8</v>
      </c>
      <c r="F654" s="8">
        <v>0.99</v>
      </c>
      <c r="G654" s="4">
        <v>43</v>
      </c>
      <c r="H654" s="8">
        <v>8.3699999999999992</v>
      </c>
      <c r="I654" s="4">
        <v>0</v>
      </c>
    </row>
    <row r="655" spans="1:9" x14ac:dyDescent="0.2">
      <c r="A655" s="2">
        <v>9</v>
      </c>
      <c r="B655" s="1" t="s">
        <v>106</v>
      </c>
      <c r="C655" s="4">
        <v>49</v>
      </c>
      <c r="D655" s="8">
        <v>3.69</v>
      </c>
      <c r="E655" s="4">
        <v>43</v>
      </c>
      <c r="F655" s="8">
        <v>5.3</v>
      </c>
      <c r="G655" s="4">
        <v>6</v>
      </c>
      <c r="H655" s="8">
        <v>1.17</v>
      </c>
      <c r="I655" s="4">
        <v>0</v>
      </c>
    </row>
    <row r="656" spans="1:9" x14ac:dyDescent="0.2">
      <c r="A656" s="2">
        <v>10</v>
      </c>
      <c r="B656" s="1" t="s">
        <v>100</v>
      </c>
      <c r="C656" s="4">
        <v>41</v>
      </c>
      <c r="D656" s="8">
        <v>3.09</v>
      </c>
      <c r="E656" s="4">
        <v>12</v>
      </c>
      <c r="F656" s="8">
        <v>1.48</v>
      </c>
      <c r="G656" s="4">
        <v>29</v>
      </c>
      <c r="H656" s="8">
        <v>5.64</v>
      </c>
      <c r="I656" s="4">
        <v>0</v>
      </c>
    </row>
    <row r="657" spans="1:9" x14ac:dyDescent="0.2">
      <c r="A657" s="2">
        <v>11</v>
      </c>
      <c r="B657" s="1" t="s">
        <v>111</v>
      </c>
      <c r="C657" s="4">
        <v>35</v>
      </c>
      <c r="D657" s="8">
        <v>2.64</v>
      </c>
      <c r="E657" s="4">
        <v>23</v>
      </c>
      <c r="F657" s="8">
        <v>2.84</v>
      </c>
      <c r="G657" s="4">
        <v>11</v>
      </c>
      <c r="H657" s="8">
        <v>2.14</v>
      </c>
      <c r="I657" s="4">
        <v>1</v>
      </c>
    </row>
    <row r="658" spans="1:9" x14ac:dyDescent="0.2">
      <c r="A658" s="2">
        <v>12</v>
      </c>
      <c r="B658" s="1" t="s">
        <v>109</v>
      </c>
      <c r="C658" s="4">
        <v>30</v>
      </c>
      <c r="D658" s="8">
        <v>2.2599999999999998</v>
      </c>
      <c r="E658" s="4">
        <v>8</v>
      </c>
      <c r="F658" s="8">
        <v>0.99</v>
      </c>
      <c r="G658" s="4">
        <v>22</v>
      </c>
      <c r="H658" s="8">
        <v>4.28</v>
      </c>
      <c r="I658" s="4">
        <v>0</v>
      </c>
    </row>
    <row r="659" spans="1:9" x14ac:dyDescent="0.2">
      <c r="A659" s="2">
        <v>13</v>
      </c>
      <c r="B659" s="1" t="s">
        <v>130</v>
      </c>
      <c r="C659" s="4">
        <v>28</v>
      </c>
      <c r="D659" s="8">
        <v>2.11</v>
      </c>
      <c r="E659" s="4">
        <v>14</v>
      </c>
      <c r="F659" s="8">
        <v>1.73</v>
      </c>
      <c r="G659" s="4">
        <v>14</v>
      </c>
      <c r="H659" s="8">
        <v>2.72</v>
      </c>
      <c r="I659" s="4">
        <v>0</v>
      </c>
    </row>
    <row r="660" spans="1:9" x14ac:dyDescent="0.2">
      <c r="A660" s="2">
        <v>14</v>
      </c>
      <c r="B660" s="1" t="s">
        <v>105</v>
      </c>
      <c r="C660" s="4">
        <v>27</v>
      </c>
      <c r="D660" s="8">
        <v>2.0299999999999998</v>
      </c>
      <c r="E660" s="4">
        <v>21</v>
      </c>
      <c r="F660" s="8">
        <v>2.59</v>
      </c>
      <c r="G660" s="4">
        <v>6</v>
      </c>
      <c r="H660" s="8">
        <v>1.17</v>
      </c>
      <c r="I660" s="4">
        <v>0</v>
      </c>
    </row>
    <row r="661" spans="1:9" x14ac:dyDescent="0.2">
      <c r="A661" s="2">
        <v>15</v>
      </c>
      <c r="B661" s="1" t="s">
        <v>104</v>
      </c>
      <c r="C661" s="4">
        <v>19</v>
      </c>
      <c r="D661" s="8">
        <v>1.43</v>
      </c>
      <c r="E661" s="4">
        <v>6</v>
      </c>
      <c r="F661" s="8">
        <v>0.74</v>
      </c>
      <c r="G661" s="4">
        <v>13</v>
      </c>
      <c r="H661" s="8">
        <v>2.5299999999999998</v>
      </c>
      <c r="I661" s="4">
        <v>0</v>
      </c>
    </row>
    <row r="662" spans="1:9" x14ac:dyDescent="0.2">
      <c r="A662" s="2">
        <v>15</v>
      </c>
      <c r="B662" s="1" t="s">
        <v>112</v>
      </c>
      <c r="C662" s="4">
        <v>19</v>
      </c>
      <c r="D662" s="8">
        <v>1.43</v>
      </c>
      <c r="E662" s="4">
        <v>11</v>
      </c>
      <c r="F662" s="8">
        <v>1.36</v>
      </c>
      <c r="G662" s="4">
        <v>8</v>
      </c>
      <c r="H662" s="8">
        <v>1.56</v>
      </c>
      <c r="I662" s="4">
        <v>0</v>
      </c>
    </row>
    <row r="663" spans="1:9" x14ac:dyDescent="0.2">
      <c r="A663" s="2">
        <v>17</v>
      </c>
      <c r="B663" s="1" t="s">
        <v>103</v>
      </c>
      <c r="C663" s="4">
        <v>18</v>
      </c>
      <c r="D663" s="8">
        <v>1.36</v>
      </c>
      <c r="E663" s="4">
        <v>4</v>
      </c>
      <c r="F663" s="8">
        <v>0.49</v>
      </c>
      <c r="G663" s="4">
        <v>14</v>
      </c>
      <c r="H663" s="8">
        <v>2.72</v>
      </c>
      <c r="I663" s="4">
        <v>0</v>
      </c>
    </row>
    <row r="664" spans="1:9" x14ac:dyDescent="0.2">
      <c r="A664" s="2">
        <v>18</v>
      </c>
      <c r="B664" s="1" t="s">
        <v>107</v>
      </c>
      <c r="C664" s="4">
        <v>15</v>
      </c>
      <c r="D664" s="8">
        <v>1.1299999999999999</v>
      </c>
      <c r="E664" s="4">
        <v>13</v>
      </c>
      <c r="F664" s="8">
        <v>1.6</v>
      </c>
      <c r="G664" s="4">
        <v>2</v>
      </c>
      <c r="H664" s="8">
        <v>0.39</v>
      </c>
      <c r="I664" s="4">
        <v>0</v>
      </c>
    </row>
    <row r="665" spans="1:9" x14ac:dyDescent="0.2">
      <c r="A665" s="2">
        <v>18</v>
      </c>
      <c r="B665" s="1" t="s">
        <v>119</v>
      </c>
      <c r="C665" s="4">
        <v>15</v>
      </c>
      <c r="D665" s="8">
        <v>1.1299999999999999</v>
      </c>
      <c r="E665" s="4">
        <v>1</v>
      </c>
      <c r="F665" s="8">
        <v>0.12</v>
      </c>
      <c r="G665" s="4">
        <v>14</v>
      </c>
      <c r="H665" s="8">
        <v>2.72</v>
      </c>
      <c r="I665" s="4">
        <v>0</v>
      </c>
    </row>
    <row r="666" spans="1:9" x14ac:dyDescent="0.2">
      <c r="A666" s="2">
        <v>20</v>
      </c>
      <c r="B666" s="1" t="s">
        <v>117</v>
      </c>
      <c r="C666" s="4">
        <v>13</v>
      </c>
      <c r="D666" s="8">
        <v>0.98</v>
      </c>
      <c r="E666" s="4">
        <v>0</v>
      </c>
      <c r="F666" s="8">
        <v>0</v>
      </c>
      <c r="G666" s="4">
        <v>13</v>
      </c>
      <c r="H666" s="8">
        <v>2.5299999999999998</v>
      </c>
      <c r="I666" s="4">
        <v>0</v>
      </c>
    </row>
    <row r="667" spans="1:9" x14ac:dyDescent="0.2">
      <c r="A667" s="1"/>
      <c r="C667" s="4"/>
      <c r="D667" s="8"/>
      <c r="E667" s="4"/>
      <c r="F667" s="8"/>
      <c r="G667" s="4"/>
      <c r="H667" s="8"/>
      <c r="I667" s="4"/>
    </row>
    <row r="668" spans="1:9" x14ac:dyDescent="0.2">
      <c r="A668" s="1" t="s">
        <v>30</v>
      </c>
      <c r="C668" s="4"/>
      <c r="D668" s="8"/>
      <c r="E668" s="4"/>
      <c r="F668" s="8"/>
      <c r="G668" s="4"/>
      <c r="H668" s="8"/>
      <c r="I668" s="4"/>
    </row>
    <row r="669" spans="1:9" x14ac:dyDescent="0.2">
      <c r="A669" s="2">
        <v>1</v>
      </c>
      <c r="B669" s="1" t="s">
        <v>113</v>
      </c>
      <c r="C669" s="4">
        <v>245</v>
      </c>
      <c r="D669" s="8">
        <v>10.24</v>
      </c>
      <c r="E669" s="4">
        <v>223</v>
      </c>
      <c r="F669" s="8">
        <v>19.03</v>
      </c>
      <c r="G669" s="4">
        <v>22</v>
      </c>
      <c r="H669" s="8">
        <v>1.81</v>
      </c>
      <c r="I669" s="4">
        <v>0</v>
      </c>
    </row>
    <row r="670" spans="1:9" x14ac:dyDescent="0.2">
      <c r="A670" s="2">
        <v>2</v>
      </c>
      <c r="B670" s="1" t="s">
        <v>114</v>
      </c>
      <c r="C670" s="4">
        <v>240</v>
      </c>
      <c r="D670" s="8">
        <v>10.029999999999999</v>
      </c>
      <c r="E670" s="4">
        <v>214</v>
      </c>
      <c r="F670" s="8">
        <v>18.260000000000002</v>
      </c>
      <c r="G670" s="4">
        <v>26</v>
      </c>
      <c r="H670" s="8">
        <v>2.13</v>
      </c>
      <c r="I670" s="4">
        <v>0</v>
      </c>
    </row>
    <row r="671" spans="1:9" x14ac:dyDescent="0.2">
      <c r="A671" s="2">
        <v>3</v>
      </c>
      <c r="B671" s="1" t="s">
        <v>110</v>
      </c>
      <c r="C671" s="4">
        <v>206</v>
      </c>
      <c r="D671" s="8">
        <v>8.61</v>
      </c>
      <c r="E671" s="4">
        <v>59</v>
      </c>
      <c r="F671" s="8">
        <v>5.03</v>
      </c>
      <c r="G671" s="4">
        <v>147</v>
      </c>
      <c r="H671" s="8">
        <v>12.07</v>
      </c>
      <c r="I671" s="4">
        <v>0</v>
      </c>
    </row>
    <row r="672" spans="1:9" x14ac:dyDescent="0.2">
      <c r="A672" s="2">
        <v>4</v>
      </c>
      <c r="B672" s="1" t="s">
        <v>98</v>
      </c>
      <c r="C672" s="4">
        <v>136</v>
      </c>
      <c r="D672" s="8">
        <v>5.68</v>
      </c>
      <c r="E672" s="4">
        <v>19</v>
      </c>
      <c r="F672" s="8">
        <v>1.62</v>
      </c>
      <c r="G672" s="4">
        <v>117</v>
      </c>
      <c r="H672" s="8">
        <v>9.61</v>
      </c>
      <c r="I672" s="4">
        <v>0</v>
      </c>
    </row>
    <row r="673" spans="1:9" x14ac:dyDescent="0.2">
      <c r="A673" s="2">
        <v>5</v>
      </c>
      <c r="B673" s="1" t="s">
        <v>108</v>
      </c>
      <c r="C673" s="4">
        <v>129</v>
      </c>
      <c r="D673" s="8">
        <v>5.39</v>
      </c>
      <c r="E673" s="4">
        <v>85</v>
      </c>
      <c r="F673" s="8">
        <v>7.25</v>
      </c>
      <c r="G673" s="4">
        <v>44</v>
      </c>
      <c r="H673" s="8">
        <v>3.61</v>
      </c>
      <c r="I673" s="4">
        <v>0</v>
      </c>
    </row>
    <row r="674" spans="1:9" x14ac:dyDescent="0.2">
      <c r="A674" s="2">
        <v>6</v>
      </c>
      <c r="B674" s="1" t="s">
        <v>100</v>
      </c>
      <c r="C674" s="4">
        <v>111</v>
      </c>
      <c r="D674" s="8">
        <v>4.6399999999999997</v>
      </c>
      <c r="E674" s="4">
        <v>14</v>
      </c>
      <c r="F674" s="8">
        <v>1.19</v>
      </c>
      <c r="G674" s="4">
        <v>97</v>
      </c>
      <c r="H674" s="8">
        <v>7.96</v>
      </c>
      <c r="I674" s="4">
        <v>0</v>
      </c>
    </row>
    <row r="675" spans="1:9" x14ac:dyDescent="0.2">
      <c r="A675" s="2">
        <v>7</v>
      </c>
      <c r="B675" s="1" t="s">
        <v>99</v>
      </c>
      <c r="C675" s="4">
        <v>103</v>
      </c>
      <c r="D675" s="8">
        <v>4.3</v>
      </c>
      <c r="E675" s="4">
        <v>33</v>
      </c>
      <c r="F675" s="8">
        <v>2.82</v>
      </c>
      <c r="G675" s="4">
        <v>70</v>
      </c>
      <c r="H675" s="8">
        <v>5.75</v>
      </c>
      <c r="I675" s="4">
        <v>0</v>
      </c>
    </row>
    <row r="676" spans="1:9" x14ac:dyDescent="0.2">
      <c r="A676" s="2">
        <v>8</v>
      </c>
      <c r="B676" s="1" t="s">
        <v>116</v>
      </c>
      <c r="C676" s="4">
        <v>102</v>
      </c>
      <c r="D676" s="8">
        <v>4.26</v>
      </c>
      <c r="E676" s="4">
        <v>83</v>
      </c>
      <c r="F676" s="8">
        <v>7.08</v>
      </c>
      <c r="G676" s="4">
        <v>19</v>
      </c>
      <c r="H676" s="8">
        <v>1.56</v>
      </c>
      <c r="I676" s="4">
        <v>0</v>
      </c>
    </row>
    <row r="677" spans="1:9" x14ac:dyDescent="0.2">
      <c r="A677" s="2">
        <v>9</v>
      </c>
      <c r="B677" s="1" t="s">
        <v>107</v>
      </c>
      <c r="C677" s="4">
        <v>92</v>
      </c>
      <c r="D677" s="8">
        <v>3.84</v>
      </c>
      <c r="E677" s="4">
        <v>57</v>
      </c>
      <c r="F677" s="8">
        <v>4.8600000000000003</v>
      </c>
      <c r="G677" s="4">
        <v>35</v>
      </c>
      <c r="H677" s="8">
        <v>2.87</v>
      </c>
      <c r="I677" s="4">
        <v>0</v>
      </c>
    </row>
    <row r="678" spans="1:9" x14ac:dyDescent="0.2">
      <c r="A678" s="2">
        <v>10</v>
      </c>
      <c r="B678" s="1" t="s">
        <v>106</v>
      </c>
      <c r="C678" s="4">
        <v>91</v>
      </c>
      <c r="D678" s="8">
        <v>3.8</v>
      </c>
      <c r="E678" s="4">
        <v>69</v>
      </c>
      <c r="F678" s="8">
        <v>5.89</v>
      </c>
      <c r="G678" s="4">
        <v>22</v>
      </c>
      <c r="H678" s="8">
        <v>1.81</v>
      </c>
      <c r="I678" s="4">
        <v>0</v>
      </c>
    </row>
    <row r="679" spans="1:9" x14ac:dyDescent="0.2">
      <c r="A679" s="2">
        <v>11</v>
      </c>
      <c r="B679" s="1" t="s">
        <v>115</v>
      </c>
      <c r="C679" s="4">
        <v>87</v>
      </c>
      <c r="D679" s="8">
        <v>3.64</v>
      </c>
      <c r="E679" s="4">
        <v>64</v>
      </c>
      <c r="F679" s="8">
        <v>5.46</v>
      </c>
      <c r="G679" s="4">
        <v>22</v>
      </c>
      <c r="H679" s="8">
        <v>1.81</v>
      </c>
      <c r="I679" s="4">
        <v>1</v>
      </c>
    </row>
    <row r="680" spans="1:9" x14ac:dyDescent="0.2">
      <c r="A680" s="2">
        <v>12</v>
      </c>
      <c r="B680" s="1" t="s">
        <v>101</v>
      </c>
      <c r="C680" s="4">
        <v>57</v>
      </c>
      <c r="D680" s="8">
        <v>2.38</v>
      </c>
      <c r="E680" s="4">
        <v>14</v>
      </c>
      <c r="F680" s="8">
        <v>1.19</v>
      </c>
      <c r="G680" s="4">
        <v>43</v>
      </c>
      <c r="H680" s="8">
        <v>3.53</v>
      </c>
      <c r="I680" s="4">
        <v>0</v>
      </c>
    </row>
    <row r="681" spans="1:9" x14ac:dyDescent="0.2">
      <c r="A681" s="2">
        <v>13</v>
      </c>
      <c r="B681" s="1" t="s">
        <v>105</v>
      </c>
      <c r="C681" s="4">
        <v>52</v>
      </c>
      <c r="D681" s="8">
        <v>2.17</v>
      </c>
      <c r="E681" s="4">
        <v>29</v>
      </c>
      <c r="F681" s="8">
        <v>2.4700000000000002</v>
      </c>
      <c r="G681" s="4">
        <v>23</v>
      </c>
      <c r="H681" s="8">
        <v>1.89</v>
      </c>
      <c r="I681" s="4">
        <v>0</v>
      </c>
    </row>
    <row r="682" spans="1:9" x14ac:dyDescent="0.2">
      <c r="A682" s="2">
        <v>14</v>
      </c>
      <c r="B682" s="1" t="s">
        <v>111</v>
      </c>
      <c r="C682" s="4">
        <v>46</v>
      </c>
      <c r="D682" s="8">
        <v>1.92</v>
      </c>
      <c r="E682" s="4">
        <v>21</v>
      </c>
      <c r="F682" s="8">
        <v>1.79</v>
      </c>
      <c r="G682" s="4">
        <v>25</v>
      </c>
      <c r="H682" s="8">
        <v>2.0499999999999998</v>
      </c>
      <c r="I682" s="4">
        <v>0</v>
      </c>
    </row>
    <row r="683" spans="1:9" x14ac:dyDescent="0.2">
      <c r="A683" s="2">
        <v>15</v>
      </c>
      <c r="B683" s="1" t="s">
        <v>109</v>
      </c>
      <c r="C683" s="4">
        <v>38</v>
      </c>
      <c r="D683" s="8">
        <v>1.59</v>
      </c>
      <c r="E683" s="4">
        <v>9</v>
      </c>
      <c r="F683" s="8">
        <v>0.77</v>
      </c>
      <c r="G683" s="4">
        <v>29</v>
      </c>
      <c r="H683" s="8">
        <v>2.38</v>
      </c>
      <c r="I683" s="4">
        <v>0</v>
      </c>
    </row>
    <row r="684" spans="1:9" x14ac:dyDescent="0.2">
      <c r="A684" s="2">
        <v>15</v>
      </c>
      <c r="B684" s="1" t="s">
        <v>112</v>
      </c>
      <c r="C684" s="4">
        <v>38</v>
      </c>
      <c r="D684" s="8">
        <v>1.59</v>
      </c>
      <c r="E684" s="4">
        <v>13</v>
      </c>
      <c r="F684" s="8">
        <v>1.1100000000000001</v>
      </c>
      <c r="G684" s="4">
        <v>25</v>
      </c>
      <c r="H684" s="8">
        <v>2.0499999999999998</v>
      </c>
      <c r="I684" s="4">
        <v>0</v>
      </c>
    </row>
    <row r="685" spans="1:9" x14ac:dyDescent="0.2">
      <c r="A685" s="2">
        <v>17</v>
      </c>
      <c r="B685" s="1" t="s">
        <v>130</v>
      </c>
      <c r="C685" s="4">
        <v>37</v>
      </c>
      <c r="D685" s="8">
        <v>1.55</v>
      </c>
      <c r="E685" s="4">
        <v>17</v>
      </c>
      <c r="F685" s="8">
        <v>1.45</v>
      </c>
      <c r="G685" s="4">
        <v>20</v>
      </c>
      <c r="H685" s="8">
        <v>1.64</v>
      </c>
      <c r="I685" s="4">
        <v>0</v>
      </c>
    </row>
    <row r="686" spans="1:9" x14ac:dyDescent="0.2">
      <c r="A686" s="2">
        <v>18</v>
      </c>
      <c r="B686" s="1" t="s">
        <v>102</v>
      </c>
      <c r="C686" s="4">
        <v>34</v>
      </c>
      <c r="D686" s="8">
        <v>1.42</v>
      </c>
      <c r="E686" s="4">
        <v>7</v>
      </c>
      <c r="F686" s="8">
        <v>0.6</v>
      </c>
      <c r="G686" s="4">
        <v>27</v>
      </c>
      <c r="H686" s="8">
        <v>2.2200000000000002</v>
      </c>
      <c r="I686" s="4">
        <v>0</v>
      </c>
    </row>
    <row r="687" spans="1:9" x14ac:dyDescent="0.2">
      <c r="A687" s="2">
        <v>18</v>
      </c>
      <c r="B687" s="1" t="s">
        <v>117</v>
      </c>
      <c r="C687" s="4">
        <v>34</v>
      </c>
      <c r="D687" s="8">
        <v>1.42</v>
      </c>
      <c r="E687" s="4">
        <v>1</v>
      </c>
      <c r="F687" s="8">
        <v>0.09</v>
      </c>
      <c r="G687" s="4">
        <v>33</v>
      </c>
      <c r="H687" s="8">
        <v>2.71</v>
      </c>
      <c r="I687" s="4">
        <v>0</v>
      </c>
    </row>
    <row r="688" spans="1:9" x14ac:dyDescent="0.2">
      <c r="A688" s="2">
        <v>20</v>
      </c>
      <c r="B688" s="1" t="s">
        <v>127</v>
      </c>
      <c r="C688" s="4">
        <v>33</v>
      </c>
      <c r="D688" s="8">
        <v>1.38</v>
      </c>
      <c r="E688" s="4">
        <v>9</v>
      </c>
      <c r="F688" s="8">
        <v>0.77</v>
      </c>
      <c r="G688" s="4">
        <v>24</v>
      </c>
      <c r="H688" s="8">
        <v>1.97</v>
      </c>
      <c r="I688" s="4">
        <v>0</v>
      </c>
    </row>
    <row r="689" spans="1:9" x14ac:dyDescent="0.2">
      <c r="A689" s="1"/>
      <c r="C689" s="4"/>
      <c r="D689" s="8"/>
      <c r="E689" s="4"/>
      <c r="F689" s="8"/>
      <c r="G689" s="4"/>
      <c r="H689" s="8"/>
      <c r="I689" s="4"/>
    </row>
    <row r="690" spans="1:9" x14ac:dyDescent="0.2">
      <c r="A690" s="1" t="s">
        <v>31</v>
      </c>
      <c r="C690" s="4"/>
      <c r="D690" s="8"/>
      <c r="E690" s="4"/>
      <c r="F690" s="8"/>
      <c r="G690" s="4"/>
      <c r="H690" s="8"/>
      <c r="I690" s="4"/>
    </row>
    <row r="691" spans="1:9" x14ac:dyDescent="0.2">
      <c r="A691" s="2">
        <v>1</v>
      </c>
      <c r="B691" s="1" t="s">
        <v>110</v>
      </c>
      <c r="C691" s="4">
        <v>120</v>
      </c>
      <c r="D691" s="8">
        <v>8.23</v>
      </c>
      <c r="E691" s="4">
        <v>13</v>
      </c>
      <c r="F691" s="8">
        <v>2.0699999999999998</v>
      </c>
      <c r="G691" s="4">
        <v>107</v>
      </c>
      <c r="H691" s="8">
        <v>12.88</v>
      </c>
      <c r="I691" s="4">
        <v>0</v>
      </c>
    </row>
    <row r="692" spans="1:9" x14ac:dyDescent="0.2">
      <c r="A692" s="2">
        <v>2</v>
      </c>
      <c r="B692" s="1" t="s">
        <v>98</v>
      </c>
      <c r="C692" s="4">
        <v>116</v>
      </c>
      <c r="D692" s="8">
        <v>7.96</v>
      </c>
      <c r="E692" s="4">
        <v>18</v>
      </c>
      <c r="F692" s="8">
        <v>2.87</v>
      </c>
      <c r="G692" s="4">
        <v>98</v>
      </c>
      <c r="H692" s="8">
        <v>11.79</v>
      </c>
      <c r="I692" s="4">
        <v>0</v>
      </c>
    </row>
    <row r="693" spans="1:9" x14ac:dyDescent="0.2">
      <c r="A693" s="2">
        <v>3</v>
      </c>
      <c r="B693" s="1" t="s">
        <v>114</v>
      </c>
      <c r="C693" s="4">
        <v>105</v>
      </c>
      <c r="D693" s="8">
        <v>7.2</v>
      </c>
      <c r="E693" s="4">
        <v>82</v>
      </c>
      <c r="F693" s="8">
        <v>13.08</v>
      </c>
      <c r="G693" s="4">
        <v>23</v>
      </c>
      <c r="H693" s="8">
        <v>2.77</v>
      </c>
      <c r="I693" s="4">
        <v>0</v>
      </c>
    </row>
    <row r="694" spans="1:9" x14ac:dyDescent="0.2">
      <c r="A694" s="2">
        <v>4</v>
      </c>
      <c r="B694" s="1" t="s">
        <v>113</v>
      </c>
      <c r="C694" s="4">
        <v>100</v>
      </c>
      <c r="D694" s="8">
        <v>6.86</v>
      </c>
      <c r="E694" s="4">
        <v>81</v>
      </c>
      <c r="F694" s="8">
        <v>12.92</v>
      </c>
      <c r="G694" s="4">
        <v>19</v>
      </c>
      <c r="H694" s="8">
        <v>2.29</v>
      </c>
      <c r="I694" s="4">
        <v>0</v>
      </c>
    </row>
    <row r="695" spans="1:9" x14ac:dyDescent="0.2">
      <c r="A695" s="2">
        <v>5</v>
      </c>
      <c r="B695" s="1" t="s">
        <v>108</v>
      </c>
      <c r="C695" s="4">
        <v>81</v>
      </c>
      <c r="D695" s="8">
        <v>5.56</v>
      </c>
      <c r="E695" s="4">
        <v>34</v>
      </c>
      <c r="F695" s="8">
        <v>5.42</v>
      </c>
      <c r="G695" s="4">
        <v>47</v>
      </c>
      <c r="H695" s="8">
        <v>5.66</v>
      </c>
      <c r="I695" s="4">
        <v>0</v>
      </c>
    </row>
    <row r="696" spans="1:9" x14ac:dyDescent="0.2">
      <c r="A696" s="2">
        <v>6</v>
      </c>
      <c r="B696" s="1" t="s">
        <v>100</v>
      </c>
      <c r="C696" s="4">
        <v>70</v>
      </c>
      <c r="D696" s="8">
        <v>4.8</v>
      </c>
      <c r="E696" s="4">
        <v>12</v>
      </c>
      <c r="F696" s="8">
        <v>1.91</v>
      </c>
      <c r="G696" s="4">
        <v>58</v>
      </c>
      <c r="H696" s="8">
        <v>6.98</v>
      </c>
      <c r="I696" s="4">
        <v>0</v>
      </c>
    </row>
    <row r="697" spans="1:9" x14ac:dyDescent="0.2">
      <c r="A697" s="2">
        <v>7</v>
      </c>
      <c r="B697" s="1" t="s">
        <v>116</v>
      </c>
      <c r="C697" s="4">
        <v>63</v>
      </c>
      <c r="D697" s="8">
        <v>4.32</v>
      </c>
      <c r="E697" s="4">
        <v>56</v>
      </c>
      <c r="F697" s="8">
        <v>8.93</v>
      </c>
      <c r="G697" s="4">
        <v>7</v>
      </c>
      <c r="H697" s="8">
        <v>0.84</v>
      </c>
      <c r="I697" s="4">
        <v>0</v>
      </c>
    </row>
    <row r="698" spans="1:9" x14ac:dyDescent="0.2">
      <c r="A698" s="2">
        <v>8</v>
      </c>
      <c r="B698" s="1" t="s">
        <v>107</v>
      </c>
      <c r="C698" s="4">
        <v>58</v>
      </c>
      <c r="D698" s="8">
        <v>3.98</v>
      </c>
      <c r="E698" s="4">
        <v>39</v>
      </c>
      <c r="F698" s="8">
        <v>6.22</v>
      </c>
      <c r="G698" s="4">
        <v>19</v>
      </c>
      <c r="H698" s="8">
        <v>2.29</v>
      </c>
      <c r="I698" s="4">
        <v>0</v>
      </c>
    </row>
    <row r="699" spans="1:9" x14ac:dyDescent="0.2">
      <c r="A699" s="2">
        <v>9</v>
      </c>
      <c r="B699" s="1" t="s">
        <v>99</v>
      </c>
      <c r="C699" s="4">
        <v>49</v>
      </c>
      <c r="D699" s="8">
        <v>3.36</v>
      </c>
      <c r="E699" s="4">
        <v>19</v>
      </c>
      <c r="F699" s="8">
        <v>3.03</v>
      </c>
      <c r="G699" s="4">
        <v>30</v>
      </c>
      <c r="H699" s="8">
        <v>3.61</v>
      </c>
      <c r="I699" s="4">
        <v>0</v>
      </c>
    </row>
    <row r="700" spans="1:9" x14ac:dyDescent="0.2">
      <c r="A700" s="2">
        <v>9</v>
      </c>
      <c r="B700" s="1" t="s">
        <v>106</v>
      </c>
      <c r="C700" s="4">
        <v>49</v>
      </c>
      <c r="D700" s="8">
        <v>3.36</v>
      </c>
      <c r="E700" s="4">
        <v>27</v>
      </c>
      <c r="F700" s="8">
        <v>4.3099999999999996</v>
      </c>
      <c r="G700" s="4">
        <v>22</v>
      </c>
      <c r="H700" s="8">
        <v>2.65</v>
      </c>
      <c r="I700" s="4">
        <v>0</v>
      </c>
    </row>
    <row r="701" spans="1:9" x14ac:dyDescent="0.2">
      <c r="A701" s="2">
        <v>11</v>
      </c>
      <c r="B701" s="1" t="s">
        <v>115</v>
      </c>
      <c r="C701" s="4">
        <v>47</v>
      </c>
      <c r="D701" s="8">
        <v>3.22</v>
      </c>
      <c r="E701" s="4">
        <v>29</v>
      </c>
      <c r="F701" s="8">
        <v>4.63</v>
      </c>
      <c r="G701" s="4">
        <v>18</v>
      </c>
      <c r="H701" s="8">
        <v>2.17</v>
      </c>
      <c r="I701" s="4">
        <v>0</v>
      </c>
    </row>
    <row r="702" spans="1:9" x14ac:dyDescent="0.2">
      <c r="A702" s="2">
        <v>12</v>
      </c>
      <c r="B702" s="1" t="s">
        <v>111</v>
      </c>
      <c r="C702" s="4">
        <v>44</v>
      </c>
      <c r="D702" s="8">
        <v>3.02</v>
      </c>
      <c r="E702" s="4">
        <v>15</v>
      </c>
      <c r="F702" s="8">
        <v>2.39</v>
      </c>
      <c r="G702" s="4">
        <v>29</v>
      </c>
      <c r="H702" s="8">
        <v>3.49</v>
      </c>
      <c r="I702" s="4">
        <v>0</v>
      </c>
    </row>
    <row r="703" spans="1:9" x14ac:dyDescent="0.2">
      <c r="A703" s="2">
        <v>13</v>
      </c>
      <c r="B703" s="1" t="s">
        <v>105</v>
      </c>
      <c r="C703" s="4">
        <v>43</v>
      </c>
      <c r="D703" s="8">
        <v>2.95</v>
      </c>
      <c r="E703" s="4">
        <v>17</v>
      </c>
      <c r="F703" s="8">
        <v>2.71</v>
      </c>
      <c r="G703" s="4">
        <v>26</v>
      </c>
      <c r="H703" s="8">
        <v>3.13</v>
      </c>
      <c r="I703" s="4">
        <v>0</v>
      </c>
    </row>
    <row r="704" spans="1:9" x14ac:dyDescent="0.2">
      <c r="A704" s="2">
        <v>14</v>
      </c>
      <c r="B704" s="1" t="s">
        <v>117</v>
      </c>
      <c r="C704" s="4">
        <v>36</v>
      </c>
      <c r="D704" s="8">
        <v>2.4700000000000002</v>
      </c>
      <c r="E704" s="4">
        <v>1</v>
      </c>
      <c r="F704" s="8">
        <v>0.16</v>
      </c>
      <c r="G704" s="4">
        <v>35</v>
      </c>
      <c r="H704" s="8">
        <v>4.21</v>
      </c>
      <c r="I704" s="4">
        <v>0</v>
      </c>
    </row>
    <row r="705" spans="1:9" x14ac:dyDescent="0.2">
      <c r="A705" s="2">
        <v>15</v>
      </c>
      <c r="B705" s="1" t="s">
        <v>129</v>
      </c>
      <c r="C705" s="4">
        <v>35</v>
      </c>
      <c r="D705" s="8">
        <v>2.4</v>
      </c>
      <c r="E705" s="4">
        <v>34</v>
      </c>
      <c r="F705" s="8">
        <v>5.42</v>
      </c>
      <c r="G705" s="4">
        <v>1</v>
      </c>
      <c r="H705" s="8">
        <v>0.12</v>
      </c>
      <c r="I705" s="4">
        <v>0</v>
      </c>
    </row>
    <row r="706" spans="1:9" x14ac:dyDescent="0.2">
      <c r="A706" s="2">
        <v>16</v>
      </c>
      <c r="B706" s="1" t="s">
        <v>140</v>
      </c>
      <c r="C706" s="4">
        <v>31</v>
      </c>
      <c r="D706" s="8">
        <v>2.13</v>
      </c>
      <c r="E706" s="4">
        <v>31</v>
      </c>
      <c r="F706" s="8">
        <v>4.9400000000000004</v>
      </c>
      <c r="G706" s="4">
        <v>0</v>
      </c>
      <c r="H706" s="8">
        <v>0</v>
      </c>
      <c r="I706" s="4">
        <v>0</v>
      </c>
    </row>
    <row r="707" spans="1:9" x14ac:dyDescent="0.2">
      <c r="A707" s="2">
        <v>17</v>
      </c>
      <c r="B707" s="1" t="s">
        <v>101</v>
      </c>
      <c r="C707" s="4">
        <v>27</v>
      </c>
      <c r="D707" s="8">
        <v>1.85</v>
      </c>
      <c r="E707" s="4">
        <v>11</v>
      </c>
      <c r="F707" s="8">
        <v>1.75</v>
      </c>
      <c r="G707" s="4">
        <v>16</v>
      </c>
      <c r="H707" s="8">
        <v>1.93</v>
      </c>
      <c r="I707" s="4">
        <v>0</v>
      </c>
    </row>
    <row r="708" spans="1:9" x14ac:dyDescent="0.2">
      <c r="A708" s="2">
        <v>18</v>
      </c>
      <c r="B708" s="1" t="s">
        <v>103</v>
      </c>
      <c r="C708" s="4">
        <v>25</v>
      </c>
      <c r="D708" s="8">
        <v>1.71</v>
      </c>
      <c r="E708" s="4">
        <v>5</v>
      </c>
      <c r="F708" s="8">
        <v>0.8</v>
      </c>
      <c r="G708" s="4">
        <v>20</v>
      </c>
      <c r="H708" s="8">
        <v>2.41</v>
      </c>
      <c r="I708" s="4">
        <v>0</v>
      </c>
    </row>
    <row r="709" spans="1:9" x14ac:dyDescent="0.2">
      <c r="A709" s="2">
        <v>18</v>
      </c>
      <c r="B709" s="1" t="s">
        <v>112</v>
      </c>
      <c r="C709" s="4">
        <v>25</v>
      </c>
      <c r="D709" s="8">
        <v>1.71</v>
      </c>
      <c r="E709" s="4">
        <v>11</v>
      </c>
      <c r="F709" s="8">
        <v>1.75</v>
      </c>
      <c r="G709" s="4">
        <v>14</v>
      </c>
      <c r="H709" s="8">
        <v>1.68</v>
      </c>
      <c r="I709" s="4">
        <v>0</v>
      </c>
    </row>
    <row r="710" spans="1:9" x14ac:dyDescent="0.2">
      <c r="A710" s="2">
        <v>20</v>
      </c>
      <c r="B710" s="1" t="s">
        <v>109</v>
      </c>
      <c r="C710" s="4">
        <v>24</v>
      </c>
      <c r="D710" s="8">
        <v>1.65</v>
      </c>
      <c r="E710" s="4">
        <v>4</v>
      </c>
      <c r="F710" s="8">
        <v>0.64</v>
      </c>
      <c r="G710" s="4">
        <v>20</v>
      </c>
      <c r="H710" s="8">
        <v>2.41</v>
      </c>
      <c r="I710" s="4">
        <v>0</v>
      </c>
    </row>
    <row r="711" spans="1:9" x14ac:dyDescent="0.2">
      <c r="A711" s="2">
        <v>20</v>
      </c>
      <c r="B711" s="1" t="s">
        <v>119</v>
      </c>
      <c r="C711" s="4">
        <v>24</v>
      </c>
      <c r="D711" s="8">
        <v>1.65</v>
      </c>
      <c r="E711" s="4">
        <v>2</v>
      </c>
      <c r="F711" s="8">
        <v>0.32</v>
      </c>
      <c r="G711" s="4">
        <v>22</v>
      </c>
      <c r="H711" s="8">
        <v>2.65</v>
      </c>
      <c r="I711" s="4">
        <v>0</v>
      </c>
    </row>
    <row r="712" spans="1:9" x14ac:dyDescent="0.2">
      <c r="A712" s="1"/>
      <c r="C712" s="4"/>
      <c r="D712" s="8"/>
      <c r="E712" s="4"/>
      <c r="F712" s="8"/>
      <c r="G712" s="4"/>
      <c r="H712" s="8"/>
      <c r="I712" s="4"/>
    </row>
    <row r="713" spans="1:9" x14ac:dyDescent="0.2">
      <c r="A713" s="1" t="s">
        <v>32</v>
      </c>
      <c r="C713" s="4"/>
      <c r="D713" s="8"/>
      <c r="E713" s="4"/>
      <c r="F713" s="8"/>
      <c r="G713" s="4"/>
      <c r="H713" s="8"/>
      <c r="I713" s="4"/>
    </row>
    <row r="714" spans="1:9" x14ac:dyDescent="0.2">
      <c r="A714" s="2">
        <v>1</v>
      </c>
      <c r="B714" s="1" t="s">
        <v>110</v>
      </c>
      <c r="C714" s="4">
        <v>274</v>
      </c>
      <c r="D714" s="8">
        <v>10.68</v>
      </c>
      <c r="E714" s="4">
        <v>28</v>
      </c>
      <c r="F714" s="8">
        <v>2.33</v>
      </c>
      <c r="G714" s="4">
        <v>246</v>
      </c>
      <c r="H714" s="8">
        <v>18.07</v>
      </c>
      <c r="I714" s="4">
        <v>0</v>
      </c>
    </row>
    <row r="715" spans="1:9" x14ac:dyDescent="0.2">
      <c r="A715" s="2">
        <v>1</v>
      </c>
      <c r="B715" s="1" t="s">
        <v>114</v>
      </c>
      <c r="C715" s="4">
        <v>274</v>
      </c>
      <c r="D715" s="8">
        <v>10.68</v>
      </c>
      <c r="E715" s="4">
        <v>232</v>
      </c>
      <c r="F715" s="8">
        <v>19.27</v>
      </c>
      <c r="G715" s="4">
        <v>42</v>
      </c>
      <c r="H715" s="8">
        <v>3.09</v>
      </c>
      <c r="I715" s="4">
        <v>0</v>
      </c>
    </row>
    <row r="716" spans="1:9" x14ac:dyDescent="0.2">
      <c r="A716" s="2">
        <v>3</v>
      </c>
      <c r="B716" s="1" t="s">
        <v>113</v>
      </c>
      <c r="C716" s="4">
        <v>263</v>
      </c>
      <c r="D716" s="8">
        <v>10.25</v>
      </c>
      <c r="E716" s="4">
        <v>240</v>
      </c>
      <c r="F716" s="8">
        <v>19.93</v>
      </c>
      <c r="G716" s="4">
        <v>23</v>
      </c>
      <c r="H716" s="8">
        <v>1.69</v>
      </c>
      <c r="I716" s="4">
        <v>0</v>
      </c>
    </row>
    <row r="717" spans="1:9" x14ac:dyDescent="0.2">
      <c r="A717" s="2">
        <v>4</v>
      </c>
      <c r="B717" s="1" t="s">
        <v>98</v>
      </c>
      <c r="C717" s="4">
        <v>142</v>
      </c>
      <c r="D717" s="8">
        <v>5.53</v>
      </c>
      <c r="E717" s="4">
        <v>20</v>
      </c>
      <c r="F717" s="8">
        <v>1.66</v>
      </c>
      <c r="G717" s="4">
        <v>122</v>
      </c>
      <c r="H717" s="8">
        <v>8.9600000000000009</v>
      </c>
      <c r="I717" s="4">
        <v>0</v>
      </c>
    </row>
    <row r="718" spans="1:9" x14ac:dyDescent="0.2">
      <c r="A718" s="2">
        <v>4</v>
      </c>
      <c r="B718" s="1" t="s">
        <v>116</v>
      </c>
      <c r="C718" s="4">
        <v>142</v>
      </c>
      <c r="D718" s="8">
        <v>5.53</v>
      </c>
      <c r="E718" s="4">
        <v>118</v>
      </c>
      <c r="F718" s="8">
        <v>9.8000000000000007</v>
      </c>
      <c r="G718" s="4">
        <v>24</v>
      </c>
      <c r="H718" s="8">
        <v>1.76</v>
      </c>
      <c r="I718" s="4">
        <v>0</v>
      </c>
    </row>
    <row r="719" spans="1:9" x14ac:dyDescent="0.2">
      <c r="A719" s="2">
        <v>6</v>
      </c>
      <c r="B719" s="1" t="s">
        <v>99</v>
      </c>
      <c r="C719" s="4">
        <v>124</v>
      </c>
      <c r="D719" s="8">
        <v>4.83</v>
      </c>
      <c r="E719" s="4">
        <v>18</v>
      </c>
      <c r="F719" s="8">
        <v>1.5</v>
      </c>
      <c r="G719" s="4">
        <v>106</v>
      </c>
      <c r="H719" s="8">
        <v>7.79</v>
      </c>
      <c r="I719" s="4">
        <v>0</v>
      </c>
    </row>
    <row r="720" spans="1:9" x14ac:dyDescent="0.2">
      <c r="A720" s="2">
        <v>7</v>
      </c>
      <c r="B720" s="1" t="s">
        <v>108</v>
      </c>
      <c r="C720" s="4">
        <v>112</v>
      </c>
      <c r="D720" s="8">
        <v>4.3600000000000003</v>
      </c>
      <c r="E720" s="4">
        <v>61</v>
      </c>
      <c r="F720" s="8">
        <v>5.07</v>
      </c>
      <c r="G720" s="4">
        <v>51</v>
      </c>
      <c r="H720" s="8">
        <v>3.75</v>
      </c>
      <c r="I720" s="4">
        <v>0</v>
      </c>
    </row>
    <row r="721" spans="1:9" x14ac:dyDescent="0.2">
      <c r="A721" s="2">
        <v>8</v>
      </c>
      <c r="B721" s="1" t="s">
        <v>100</v>
      </c>
      <c r="C721" s="4">
        <v>95</v>
      </c>
      <c r="D721" s="8">
        <v>3.7</v>
      </c>
      <c r="E721" s="4">
        <v>20</v>
      </c>
      <c r="F721" s="8">
        <v>1.66</v>
      </c>
      <c r="G721" s="4">
        <v>75</v>
      </c>
      <c r="H721" s="8">
        <v>5.51</v>
      </c>
      <c r="I721" s="4">
        <v>0</v>
      </c>
    </row>
    <row r="722" spans="1:9" x14ac:dyDescent="0.2">
      <c r="A722" s="2">
        <v>8</v>
      </c>
      <c r="B722" s="1" t="s">
        <v>115</v>
      </c>
      <c r="C722" s="4">
        <v>95</v>
      </c>
      <c r="D722" s="8">
        <v>3.7</v>
      </c>
      <c r="E722" s="4">
        <v>69</v>
      </c>
      <c r="F722" s="8">
        <v>5.73</v>
      </c>
      <c r="G722" s="4">
        <v>26</v>
      </c>
      <c r="H722" s="8">
        <v>1.91</v>
      </c>
      <c r="I722" s="4">
        <v>0</v>
      </c>
    </row>
    <row r="723" spans="1:9" x14ac:dyDescent="0.2">
      <c r="A723" s="2">
        <v>10</v>
      </c>
      <c r="B723" s="1" t="s">
        <v>111</v>
      </c>
      <c r="C723" s="4">
        <v>81</v>
      </c>
      <c r="D723" s="8">
        <v>3.16</v>
      </c>
      <c r="E723" s="4">
        <v>42</v>
      </c>
      <c r="F723" s="8">
        <v>3.49</v>
      </c>
      <c r="G723" s="4">
        <v>39</v>
      </c>
      <c r="H723" s="8">
        <v>2.87</v>
      </c>
      <c r="I723" s="4">
        <v>0</v>
      </c>
    </row>
    <row r="724" spans="1:9" x14ac:dyDescent="0.2">
      <c r="A724" s="2">
        <v>11</v>
      </c>
      <c r="B724" s="1" t="s">
        <v>107</v>
      </c>
      <c r="C724" s="4">
        <v>74</v>
      </c>
      <c r="D724" s="8">
        <v>2.88</v>
      </c>
      <c r="E724" s="4">
        <v>47</v>
      </c>
      <c r="F724" s="8">
        <v>3.9</v>
      </c>
      <c r="G724" s="4">
        <v>27</v>
      </c>
      <c r="H724" s="8">
        <v>1.98</v>
      </c>
      <c r="I724" s="4">
        <v>0</v>
      </c>
    </row>
    <row r="725" spans="1:9" x14ac:dyDescent="0.2">
      <c r="A725" s="2">
        <v>12</v>
      </c>
      <c r="B725" s="1" t="s">
        <v>106</v>
      </c>
      <c r="C725" s="4">
        <v>73</v>
      </c>
      <c r="D725" s="8">
        <v>2.84</v>
      </c>
      <c r="E725" s="4">
        <v>59</v>
      </c>
      <c r="F725" s="8">
        <v>4.9000000000000004</v>
      </c>
      <c r="G725" s="4">
        <v>14</v>
      </c>
      <c r="H725" s="8">
        <v>1.03</v>
      </c>
      <c r="I725" s="4">
        <v>0</v>
      </c>
    </row>
    <row r="726" spans="1:9" x14ac:dyDescent="0.2">
      <c r="A726" s="2">
        <v>13</v>
      </c>
      <c r="B726" s="1" t="s">
        <v>109</v>
      </c>
      <c r="C726" s="4">
        <v>68</v>
      </c>
      <c r="D726" s="8">
        <v>2.65</v>
      </c>
      <c r="E726" s="4">
        <v>12</v>
      </c>
      <c r="F726" s="8">
        <v>1</v>
      </c>
      <c r="G726" s="4">
        <v>56</v>
      </c>
      <c r="H726" s="8">
        <v>4.1100000000000003</v>
      </c>
      <c r="I726" s="4">
        <v>0</v>
      </c>
    </row>
    <row r="727" spans="1:9" x14ac:dyDescent="0.2">
      <c r="A727" s="2">
        <v>14</v>
      </c>
      <c r="B727" s="1" t="s">
        <v>105</v>
      </c>
      <c r="C727" s="4">
        <v>52</v>
      </c>
      <c r="D727" s="8">
        <v>2.0299999999999998</v>
      </c>
      <c r="E727" s="4">
        <v>27</v>
      </c>
      <c r="F727" s="8">
        <v>2.2400000000000002</v>
      </c>
      <c r="G727" s="4">
        <v>25</v>
      </c>
      <c r="H727" s="8">
        <v>1.84</v>
      </c>
      <c r="I727" s="4">
        <v>0</v>
      </c>
    </row>
    <row r="728" spans="1:9" x14ac:dyDescent="0.2">
      <c r="A728" s="2">
        <v>15</v>
      </c>
      <c r="B728" s="1" t="s">
        <v>117</v>
      </c>
      <c r="C728" s="4">
        <v>46</v>
      </c>
      <c r="D728" s="8">
        <v>1.79</v>
      </c>
      <c r="E728" s="4">
        <v>1</v>
      </c>
      <c r="F728" s="8">
        <v>0.08</v>
      </c>
      <c r="G728" s="4">
        <v>45</v>
      </c>
      <c r="H728" s="8">
        <v>3.31</v>
      </c>
      <c r="I728" s="4">
        <v>0</v>
      </c>
    </row>
    <row r="729" spans="1:9" x14ac:dyDescent="0.2">
      <c r="A729" s="2">
        <v>16</v>
      </c>
      <c r="B729" s="1" t="s">
        <v>104</v>
      </c>
      <c r="C729" s="4">
        <v>40</v>
      </c>
      <c r="D729" s="8">
        <v>1.56</v>
      </c>
      <c r="E729" s="4">
        <v>8</v>
      </c>
      <c r="F729" s="8">
        <v>0.66</v>
      </c>
      <c r="G729" s="4">
        <v>32</v>
      </c>
      <c r="H729" s="8">
        <v>2.35</v>
      </c>
      <c r="I729" s="4">
        <v>0</v>
      </c>
    </row>
    <row r="730" spans="1:9" x14ac:dyDescent="0.2">
      <c r="A730" s="2">
        <v>17</v>
      </c>
      <c r="B730" s="1" t="s">
        <v>101</v>
      </c>
      <c r="C730" s="4">
        <v>39</v>
      </c>
      <c r="D730" s="8">
        <v>1.52</v>
      </c>
      <c r="E730" s="4">
        <v>13</v>
      </c>
      <c r="F730" s="8">
        <v>1.08</v>
      </c>
      <c r="G730" s="4">
        <v>26</v>
      </c>
      <c r="H730" s="8">
        <v>1.91</v>
      </c>
      <c r="I730" s="4">
        <v>0</v>
      </c>
    </row>
    <row r="731" spans="1:9" x14ac:dyDescent="0.2">
      <c r="A731" s="2">
        <v>18</v>
      </c>
      <c r="B731" s="1" t="s">
        <v>103</v>
      </c>
      <c r="C731" s="4">
        <v>35</v>
      </c>
      <c r="D731" s="8">
        <v>1.36</v>
      </c>
      <c r="E731" s="4">
        <v>7</v>
      </c>
      <c r="F731" s="8">
        <v>0.57999999999999996</v>
      </c>
      <c r="G731" s="4">
        <v>28</v>
      </c>
      <c r="H731" s="8">
        <v>2.06</v>
      </c>
      <c r="I731" s="4">
        <v>0</v>
      </c>
    </row>
    <row r="732" spans="1:9" x14ac:dyDescent="0.2">
      <c r="A732" s="2">
        <v>18</v>
      </c>
      <c r="B732" s="1" t="s">
        <v>112</v>
      </c>
      <c r="C732" s="4">
        <v>35</v>
      </c>
      <c r="D732" s="8">
        <v>1.36</v>
      </c>
      <c r="E732" s="4">
        <v>15</v>
      </c>
      <c r="F732" s="8">
        <v>1.25</v>
      </c>
      <c r="G732" s="4">
        <v>20</v>
      </c>
      <c r="H732" s="8">
        <v>1.47</v>
      </c>
      <c r="I732" s="4">
        <v>0</v>
      </c>
    </row>
    <row r="733" spans="1:9" x14ac:dyDescent="0.2">
      <c r="A733" s="2">
        <v>20</v>
      </c>
      <c r="B733" s="1" t="s">
        <v>119</v>
      </c>
      <c r="C733" s="4">
        <v>32</v>
      </c>
      <c r="D733" s="8">
        <v>1.25</v>
      </c>
      <c r="E733" s="4">
        <v>3</v>
      </c>
      <c r="F733" s="8">
        <v>0.25</v>
      </c>
      <c r="G733" s="4">
        <v>29</v>
      </c>
      <c r="H733" s="8">
        <v>2.13</v>
      </c>
      <c r="I733" s="4">
        <v>0</v>
      </c>
    </row>
    <row r="734" spans="1:9" x14ac:dyDescent="0.2">
      <c r="A734" s="1"/>
      <c r="C734" s="4"/>
      <c r="D734" s="8"/>
      <c r="E734" s="4"/>
      <c r="F734" s="8"/>
      <c r="G734" s="4"/>
      <c r="H734" s="8"/>
      <c r="I734" s="4"/>
    </row>
    <row r="735" spans="1:9" x14ac:dyDescent="0.2">
      <c r="A735" s="1" t="s">
        <v>33</v>
      </c>
      <c r="C735" s="4"/>
      <c r="D735" s="8"/>
      <c r="E735" s="4"/>
      <c r="F735" s="8"/>
      <c r="G735" s="4"/>
      <c r="H735" s="8"/>
      <c r="I735" s="4"/>
    </row>
    <row r="736" spans="1:9" x14ac:dyDescent="0.2">
      <c r="A736" s="2">
        <v>1</v>
      </c>
      <c r="B736" s="1" t="s">
        <v>110</v>
      </c>
      <c r="C736" s="4">
        <v>162</v>
      </c>
      <c r="D736" s="8">
        <v>16.2</v>
      </c>
      <c r="E736" s="4">
        <v>89</v>
      </c>
      <c r="F736" s="8">
        <v>24.05</v>
      </c>
      <c r="G736" s="4">
        <v>73</v>
      </c>
      <c r="H736" s="8">
        <v>11.68</v>
      </c>
      <c r="I736" s="4">
        <v>0</v>
      </c>
    </row>
    <row r="737" spans="1:9" x14ac:dyDescent="0.2">
      <c r="A737" s="2">
        <v>2</v>
      </c>
      <c r="B737" s="1" t="s">
        <v>101</v>
      </c>
      <c r="C737" s="4">
        <v>76</v>
      </c>
      <c r="D737" s="8">
        <v>7.6</v>
      </c>
      <c r="E737" s="4">
        <v>22</v>
      </c>
      <c r="F737" s="8">
        <v>5.95</v>
      </c>
      <c r="G737" s="4">
        <v>54</v>
      </c>
      <c r="H737" s="8">
        <v>8.64</v>
      </c>
      <c r="I737" s="4">
        <v>0</v>
      </c>
    </row>
    <row r="738" spans="1:9" x14ac:dyDescent="0.2">
      <c r="A738" s="2">
        <v>3</v>
      </c>
      <c r="B738" s="1" t="s">
        <v>98</v>
      </c>
      <c r="C738" s="4">
        <v>74</v>
      </c>
      <c r="D738" s="8">
        <v>7.4</v>
      </c>
      <c r="E738" s="4">
        <v>11</v>
      </c>
      <c r="F738" s="8">
        <v>2.97</v>
      </c>
      <c r="G738" s="4">
        <v>63</v>
      </c>
      <c r="H738" s="8">
        <v>10.08</v>
      </c>
      <c r="I738" s="4">
        <v>0</v>
      </c>
    </row>
    <row r="739" spans="1:9" x14ac:dyDescent="0.2">
      <c r="A739" s="2">
        <v>4</v>
      </c>
      <c r="B739" s="1" t="s">
        <v>99</v>
      </c>
      <c r="C739" s="4">
        <v>54</v>
      </c>
      <c r="D739" s="8">
        <v>5.4</v>
      </c>
      <c r="E739" s="4">
        <v>11</v>
      </c>
      <c r="F739" s="8">
        <v>2.97</v>
      </c>
      <c r="G739" s="4">
        <v>43</v>
      </c>
      <c r="H739" s="8">
        <v>6.88</v>
      </c>
      <c r="I739" s="4">
        <v>0</v>
      </c>
    </row>
    <row r="740" spans="1:9" x14ac:dyDescent="0.2">
      <c r="A740" s="2">
        <v>5</v>
      </c>
      <c r="B740" s="1" t="s">
        <v>100</v>
      </c>
      <c r="C740" s="4">
        <v>51</v>
      </c>
      <c r="D740" s="8">
        <v>5.0999999999999996</v>
      </c>
      <c r="E740" s="4">
        <v>12</v>
      </c>
      <c r="F740" s="8">
        <v>3.24</v>
      </c>
      <c r="G740" s="4">
        <v>39</v>
      </c>
      <c r="H740" s="8">
        <v>6.24</v>
      </c>
      <c r="I740" s="4">
        <v>0</v>
      </c>
    </row>
    <row r="741" spans="1:9" x14ac:dyDescent="0.2">
      <c r="A741" s="2">
        <v>6</v>
      </c>
      <c r="B741" s="1" t="s">
        <v>113</v>
      </c>
      <c r="C741" s="4">
        <v>41</v>
      </c>
      <c r="D741" s="8">
        <v>4.0999999999999996</v>
      </c>
      <c r="E741" s="4">
        <v>35</v>
      </c>
      <c r="F741" s="8">
        <v>9.4600000000000009</v>
      </c>
      <c r="G741" s="4">
        <v>6</v>
      </c>
      <c r="H741" s="8">
        <v>0.96</v>
      </c>
      <c r="I741" s="4">
        <v>0</v>
      </c>
    </row>
    <row r="742" spans="1:9" x14ac:dyDescent="0.2">
      <c r="A742" s="2">
        <v>7</v>
      </c>
      <c r="B742" s="1" t="s">
        <v>142</v>
      </c>
      <c r="C742" s="4">
        <v>38</v>
      </c>
      <c r="D742" s="8">
        <v>3.8</v>
      </c>
      <c r="E742" s="4">
        <v>13</v>
      </c>
      <c r="F742" s="8">
        <v>3.51</v>
      </c>
      <c r="G742" s="4">
        <v>25</v>
      </c>
      <c r="H742" s="8">
        <v>4</v>
      </c>
      <c r="I742" s="4">
        <v>0</v>
      </c>
    </row>
    <row r="743" spans="1:9" x14ac:dyDescent="0.2">
      <c r="A743" s="2">
        <v>8</v>
      </c>
      <c r="B743" s="1" t="s">
        <v>107</v>
      </c>
      <c r="C743" s="4">
        <v>35</v>
      </c>
      <c r="D743" s="8">
        <v>3.5</v>
      </c>
      <c r="E743" s="4">
        <v>19</v>
      </c>
      <c r="F743" s="8">
        <v>5.14</v>
      </c>
      <c r="G743" s="4">
        <v>16</v>
      </c>
      <c r="H743" s="8">
        <v>2.56</v>
      </c>
      <c r="I743" s="4">
        <v>0</v>
      </c>
    </row>
    <row r="744" spans="1:9" x14ac:dyDescent="0.2">
      <c r="A744" s="2">
        <v>9</v>
      </c>
      <c r="B744" s="1" t="s">
        <v>114</v>
      </c>
      <c r="C744" s="4">
        <v>31</v>
      </c>
      <c r="D744" s="8">
        <v>3.1</v>
      </c>
      <c r="E744" s="4">
        <v>26</v>
      </c>
      <c r="F744" s="8">
        <v>7.03</v>
      </c>
      <c r="G744" s="4">
        <v>5</v>
      </c>
      <c r="H744" s="8">
        <v>0.8</v>
      </c>
      <c r="I744" s="4">
        <v>0</v>
      </c>
    </row>
    <row r="745" spans="1:9" x14ac:dyDescent="0.2">
      <c r="A745" s="2">
        <v>10</v>
      </c>
      <c r="B745" s="1" t="s">
        <v>127</v>
      </c>
      <c r="C745" s="4">
        <v>28</v>
      </c>
      <c r="D745" s="8">
        <v>2.8</v>
      </c>
      <c r="E745" s="4">
        <v>5</v>
      </c>
      <c r="F745" s="8">
        <v>1.35</v>
      </c>
      <c r="G745" s="4">
        <v>23</v>
      </c>
      <c r="H745" s="8">
        <v>3.68</v>
      </c>
      <c r="I745" s="4">
        <v>0</v>
      </c>
    </row>
    <row r="746" spans="1:9" x14ac:dyDescent="0.2">
      <c r="A746" s="2">
        <v>11</v>
      </c>
      <c r="B746" s="1" t="s">
        <v>132</v>
      </c>
      <c r="C746" s="4">
        <v>24</v>
      </c>
      <c r="D746" s="8">
        <v>2.4</v>
      </c>
      <c r="E746" s="4">
        <v>2</v>
      </c>
      <c r="F746" s="8">
        <v>0.54</v>
      </c>
      <c r="G746" s="4">
        <v>22</v>
      </c>
      <c r="H746" s="8">
        <v>3.52</v>
      </c>
      <c r="I746" s="4">
        <v>0</v>
      </c>
    </row>
    <row r="747" spans="1:9" x14ac:dyDescent="0.2">
      <c r="A747" s="2">
        <v>12</v>
      </c>
      <c r="B747" s="1" t="s">
        <v>102</v>
      </c>
      <c r="C747" s="4">
        <v>23</v>
      </c>
      <c r="D747" s="8">
        <v>2.2999999999999998</v>
      </c>
      <c r="E747" s="4">
        <v>4</v>
      </c>
      <c r="F747" s="8">
        <v>1.08</v>
      </c>
      <c r="G747" s="4">
        <v>19</v>
      </c>
      <c r="H747" s="8">
        <v>3.04</v>
      </c>
      <c r="I747" s="4">
        <v>0</v>
      </c>
    </row>
    <row r="748" spans="1:9" x14ac:dyDescent="0.2">
      <c r="A748" s="2">
        <v>13</v>
      </c>
      <c r="B748" s="1" t="s">
        <v>103</v>
      </c>
      <c r="C748" s="4">
        <v>20</v>
      </c>
      <c r="D748" s="8">
        <v>2</v>
      </c>
      <c r="E748" s="4">
        <v>5</v>
      </c>
      <c r="F748" s="8">
        <v>1.35</v>
      </c>
      <c r="G748" s="4">
        <v>15</v>
      </c>
      <c r="H748" s="8">
        <v>2.4</v>
      </c>
      <c r="I748" s="4">
        <v>0</v>
      </c>
    </row>
    <row r="749" spans="1:9" x14ac:dyDescent="0.2">
      <c r="A749" s="2">
        <v>14</v>
      </c>
      <c r="B749" s="1" t="s">
        <v>108</v>
      </c>
      <c r="C749" s="4">
        <v>19</v>
      </c>
      <c r="D749" s="8">
        <v>1.9</v>
      </c>
      <c r="E749" s="4">
        <v>12</v>
      </c>
      <c r="F749" s="8">
        <v>3.24</v>
      </c>
      <c r="G749" s="4">
        <v>7</v>
      </c>
      <c r="H749" s="8">
        <v>1.1200000000000001</v>
      </c>
      <c r="I749" s="4">
        <v>0</v>
      </c>
    </row>
    <row r="750" spans="1:9" x14ac:dyDescent="0.2">
      <c r="A750" s="2">
        <v>14</v>
      </c>
      <c r="B750" s="1" t="s">
        <v>129</v>
      </c>
      <c r="C750" s="4">
        <v>19</v>
      </c>
      <c r="D750" s="8">
        <v>1.9</v>
      </c>
      <c r="E750" s="4">
        <v>14</v>
      </c>
      <c r="F750" s="8">
        <v>3.78</v>
      </c>
      <c r="G750" s="4">
        <v>5</v>
      </c>
      <c r="H750" s="8">
        <v>0.8</v>
      </c>
      <c r="I750" s="4">
        <v>0</v>
      </c>
    </row>
    <row r="751" spans="1:9" x14ac:dyDescent="0.2">
      <c r="A751" s="2">
        <v>16</v>
      </c>
      <c r="B751" s="1" t="s">
        <v>141</v>
      </c>
      <c r="C751" s="4">
        <v>16</v>
      </c>
      <c r="D751" s="8">
        <v>1.6</v>
      </c>
      <c r="E751" s="4">
        <v>2</v>
      </c>
      <c r="F751" s="8">
        <v>0.54</v>
      </c>
      <c r="G751" s="4">
        <v>14</v>
      </c>
      <c r="H751" s="8">
        <v>2.2400000000000002</v>
      </c>
      <c r="I751" s="4">
        <v>0</v>
      </c>
    </row>
    <row r="752" spans="1:9" x14ac:dyDescent="0.2">
      <c r="A752" s="2">
        <v>16</v>
      </c>
      <c r="B752" s="1" t="s">
        <v>106</v>
      </c>
      <c r="C752" s="4">
        <v>16</v>
      </c>
      <c r="D752" s="8">
        <v>1.6</v>
      </c>
      <c r="E752" s="4">
        <v>13</v>
      </c>
      <c r="F752" s="8">
        <v>3.51</v>
      </c>
      <c r="G752" s="4">
        <v>3</v>
      </c>
      <c r="H752" s="8">
        <v>0.48</v>
      </c>
      <c r="I752" s="4">
        <v>0</v>
      </c>
    </row>
    <row r="753" spans="1:9" x14ac:dyDescent="0.2">
      <c r="A753" s="2">
        <v>16</v>
      </c>
      <c r="B753" s="1" t="s">
        <v>111</v>
      </c>
      <c r="C753" s="4">
        <v>16</v>
      </c>
      <c r="D753" s="8">
        <v>1.6</v>
      </c>
      <c r="E753" s="4">
        <v>4</v>
      </c>
      <c r="F753" s="8">
        <v>1.08</v>
      </c>
      <c r="G753" s="4">
        <v>12</v>
      </c>
      <c r="H753" s="8">
        <v>1.92</v>
      </c>
      <c r="I753" s="4">
        <v>0</v>
      </c>
    </row>
    <row r="754" spans="1:9" x14ac:dyDescent="0.2">
      <c r="A754" s="2">
        <v>19</v>
      </c>
      <c r="B754" s="1" t="s">
        <v>117</v>
      </c>
      <c r="C754" s="4">
        <v>14</v>
      </c>
      <c r="D754" s="8">
        <v>1.4</v>
      </c>
      <c r="E754" s="4">
        <v>0</v>
      </c>
      <c r="F754" s="8">
        <v>0</v>
      </c>
      <c r="G754" s="4">
        <v>10</v>
      </c>
      <c r="H754" s="8">
        <v>1.6</v>
      </c>
      <c r="I754" s="4">
        <v>0</v>
      </c>
    </row>
    <row r="755" spans="1:9" x14ac:dyDescent="0.2">
      <c r="A755" s="2">
        <v>20</v>
      </c>
      <c r="B755" s="1" t="s">
        <v>128</v>
      </c>
      <c r="C755" s="4">
        <v>13</v>
      </c>
      <c r="D755" s="8">
        <v>1.3</v>
      </c>
      <c r="E755" s="4">
        <v>2</v>
      </c>
      <c r="F755" s="8">
        <v>0.54</v>
      </c>
      <c r="G755" s="4">
        <v>11</v>
      </c>
      <c r="H755" s="8">
        <v>1.76</v>
      </c>
      <c r="I755" s="4">
        <v>0</v>
      </c>
    </row>
    <row r="756" spans="1:9" x14ac:dyDescent="0.2">
      <c r="A756" s="1"/>
      <c r="C756" s="4"/>
      <c r="D756" s="8"/>
      <c r="E756" s="4"/>
      <c r="F756" s="8"/>
      <c r="G756" s="4"/>
      <c r="H756" s="8"/>
      <c r="I756" s="4"/>
    </row>
    <row r="757" spans="1:9" x14ac:dyDescent="0.2">
      <c r="A757" s="1" t="s">
        <v>34</v>
      </c>
      <c r="C757" s="4"/>
      <c r="D757" s="8"/>
      <c r="E757" s="4"/>
      <c r="F757" s="8"/>
      <c r="G757" s="4"/>
      <c r="H757" s="8"/>
      <c r="I757" s="4"/>
    </row>
    <row r="758" spans="1:9" x14ac:dyDescent="0.2">
      <c r="A758" s="2">
        <v>1</v>
      </c>
      <c r="B758" s="1" t="s">
        <v>113</v>
      </c>
      <c r="C758" s="4">
        <v>469</v>
      </c>
      <c r="D758" s="8">
        <v>11.01</v>
      </c>
      <c r="E758" s="4">
        <v>428</v>
      </c>
      <c r="F758" s="8">
        <v>18.739999999999998</v>
      </c>
      <c r="G758" s="4">
        <v>41</v>
      </c>
      <c r="H758" s="8">
        <v>2.13</v>
      </c>
      <c r="I758" s="4">
        <v>0</v>
      </c>
    </row>
    <row r="759" spans="1:9" x14ac:dyDescent="0.2">
      <c r="A759" s="2">
        <v>2</v>
      </c>
      <c r="B759" s="1" t="s">
        <v>110</v>
      </c>
      <c r="C759" s="4">
        <v>379</v>
      </c>
      <c r="D759" s="8">
        <v>8.89</v>
      </c>
      <c r="E759" s="4">
        <v>112</v>
      </c>
      <c r="F759" s="8">
        <v>4.9000000000000004</v>
      </c>
      <c r="G759" s="4">
        <v>267</v>
      </c>
      <c r="H759" s="8">
        <v>13.87</v>
      </c>
      <c r="I759" s="4">
        <v>0</v>
      </c>
    </row>
    <row r="760" spans="1:9" x14ac:dyDescent="0.2">
      <c r="A760" s="2">
        <v>3</v>
      </c>
      <c r="B760" s="1" t="s">
        <v>114</v>
      </c>
      <c r="C760" s="4">
        <v>355</v>
      </c>
      <c r="D760" s="8">
        <v>8.33</v>
      </c>
      <c r="E760" s="4">
        <v>318</v>
      </c>
      <c r="F760" s="8">
        <v>13.92</v>
      </c>
      <c r="G760" s="4">
        <v>37</v>
      </c>
      <c r="H760" s="8">
        <v>1.92</v>
      </c>
      <c r="I760" s="4">
        <v>0</v>
      </c>
    </row>
    <row r="761" spans="1:9" x14ac:dyDescent="0.2">
      <c r="A761" s="2">
        <v>4</v>
      </c>
      <c r="B761" s="1" t="s">
        <v>98</v>
      </c>
      <c r="C761" s="4">
        <v>259</v>
      </c>
      <c r="D761" s="8">
        <v>6.08</v>
      </c>
      <c r="E761" s="4">
        <v>38</v>
      </c>
      <c r="F761" s="8">
        <v>1.66</v>
      </c>
      <c r="G761" s="4">
        <v>221</v>
      </c>
      <c r="H761" s="8">
        <v>11.48</v>
      </c>
      <c r="I761" s="4">
        <v>0</v>
      </c>
    </row>
    <row r="762" spans="1:9" x14ac:dyDescent="0.2">
      <c r="A762" s="2">
        <v>5</v>
      </c>
      <c r="B762" s="1" t="s">
        <v>108</v>
      </c>
      <c r="C762" s="4">
        <v>256</v>
      </c>
      <c r="D762" s="8">
        <v>6.01</v>
      </c>
      <c r="E762" s="4">
        <v>167</v>
      </c>
      <c r="F762" s="8">
        <v>7.31</v>
      </c>
      <c r="G762" s="4">
        <v>89</v>
      </c>
      <c r="H762" s="8">
        <v>4.62</v>
      </c>
      <c r="I762" s="4">
        <v>0</v>
      </c>
    </row>
    <row r="763" spans="1:9" x14ac:dyDescent="0.2">
      <c r="A763" s="2">
        <v>6</v>
      </c>
      <c r="B763" s="1" t="s">
        <v>115</v>
      </c>
      <c r="C763" s="4">
        <v>190</v>
      </c>
      <c r="D763" s="8">
        <v>4.46</v>
      </c>
      <c r="E763" s="4">
        <v>145</v>
      </c>
      <c r="F763" s="8">
        <v>6.35</v>
      </c>
      <c r="G763" s="4">
        <v>35</v>
      </c>
      <c r="H763" s="8">
        <v>1.82</v>
      </c>
      <c r="I763" s="4">
        <v>1</v>
      </c>
    </row>
    <row r="764" spans="1:9" x14ac:dyDescent="0.2">
      <c r="A764" s="2">
        <v>7</v>
      </c>
      <c r="B764" s="1" t="s">
        <v>106</v>
      </c>
      <c r="C764" s="4">
        <v>175</v>
      </c>
      <c r="D764" s="8">
        <v>4.1100000000000003</v>
      </c>
      <c r="E764" s="4">
        <v>146</v>
      </c>
      <c r="F764" s="8">
        <v>6.39</v>
      </c>
      <c r="G764" s="4">
        <v>29</v>
      </c>
      <c r="H764" s="8">
        <v>1.51</v>
      </c>
      <c r="I764" s="4">
        <v>0</v>
      </c>
    </row>
    <row r="765" spans="1:9" x14ac:dyDescent="0.2">
      <c r="A765" s="2">
        <v>8</v>
      </c>
      <c r="B765" s="1" t="s">
        <v>116</v>
      </c>
      <c r="C765" s="4">
        <v>169</v>
      </c>
      <c r="D765" s="8">
        <v>3.97</v>
      </c>
      <c r="E765" s="4">
        <v>146</v>
      </c>
      <c r="F765" s="8">
        <v>6.39</v>
      </c>
      <c r="G765" s="4">
        <v>23</v>
      </c>
      <c r="H765" s="8">
        <v>1.19</v>
      </c>
      <c r="I765" s="4">
        <v>0</v>
      </c>
    </row>
    <row r="766" spans="1:9" x14ac:dyDescent="0.2">
      <c r="A766" s="2">
        <v>9</v>
      </c>
      <c r="B766" s="1" t="s">
        <v>100</v>
      </c>
      <c r="C766" s="4">
        <v>164</v>
      </c>
      <c r="D766" s="8">
        <v>3.85</v>
      </c>
      <c r="E766" s="4">
        <v>47</v>
      </c>
      <c r="F766" s="8">
        <v>2.06</v>
      </c>
      <c r="G766" s="4">
        <v>117</v>
      </c>
      <c r="H766" s="8">
        <v>6.08</v>
      </c>
      <c r="I766" s="4">
        <v>0</v>
      </c>
    </row>
    <row r="767" spans="1:9" x14ac:dyDescent="0.2">
      <c r="A767" s="2">
        <v>10</v>
      </c>
      <c r="B767" s="1" t="s">
        <v>99</v>
      </c>
      <c r="C767" s="4">
        <v>149</v>
      </c>
      <c r="D767" s="8">
        <v>3.5</v>
      </c>
      <c r="E767" s="4">
        <v>40</v>
      </c>
      <c r="F767" s="8">
        <v>1.75</v>
      </c>
      <c r="G767" s="4">
        <v>109</v>
      </c>
      <c r="H767" s="8">
        <v>5.66</v>
      </c>
      <c r="I767" s="4">
        <v>0</v>
      </c>
    </row>
    <row r="768" spans="1:9" x14ac:dyDescent="0.2">
      <c r="A768" s="2">
        <v>11</v>
      </c>
      <c r="B768" s="1" t="s">
        <v>111</v>
      </c>
      <c r="C768" s="4">
        <v>118</v>
      </c>
      <c r="D768" s="8">
        <v>2.77</v>
      </c>
      <c r="E768" s="4">
        <v>85</v>
      </c>
      <c r="F768" s="8">
        <v>3.72</v>
      </c>
      <c r="G768" s="4">
        <v>33</v>
      </c>
      <c r="H768" s="8">
        <v>1.71</v>
      </c>
      <c r="I768" s="4">
        <v>0</v>
      </c>
    </row>
    <row r="769" spans="1:9" x14ac:dyDescent="0.2">
      <c r="A769" s="2">
        <v>12</v>
      </c>
      <c r="B769" s="1" t="s">
        <v>107</v>
      </c>
      <c r="C769" s="4">
        <v>112</v>
      </c>
      <c r="D769" s="8">
        <v>2.63</v>
      </c>
      <c r="E769" s="4">
        <v>74</v>
      </c>
      <c r="F769" s="8">
        <v>3.24</v>
      </c>
      <c r="G769" s="4">
        <v>38</v>
      </c>
      <c r="H769" s="8">
        <v>1.97</v>
      </c>
      <c r="I769" s="4">
        <v>0</v>
      </c>
    </row>
    <row r="770" spans="1:9" x14ac:dyDescent="0.2">
      <c r="A770" s="2">
        <v>13</v>
      </c>
      <c r="B770" s="1" t="s">
        <v>120</v>
      </c>
      <c r="C770" s="4">
        <v>109</v>
      </c>
      <c r="D770" s="8">
        <v>2.56</v>
      </c>
      <c r="E770" s="4">
        <v>57</v>
      </c>
      <c r="F770" s="8">
        <v>2.5</v>
      </c>
      <c r="G770" s="4">
        <v>52</v>
      </c>
      <c r="H770" s="8">
        <v>2.7</v>
      </c>
      <c r="I770" s="4">
        <v>0</v>
      </c>
    </row>
    <row r="771" spans="1:9" x14ac:dyDescent="0.2">
      <c r="A771" s="2">
        <v>14</v>
      </c>
      <c r="B771" s="1" t="s">
        <v>117</v>
      </c>
      <c r="C771" s="4">
        <v>98</v>
      </c>
      <c r="D771" s="8">
        <v>2.2999999999999998</v>
      </c>
      <c r="E771" s="4">
        <v>2</v>
      </c>
      <c r="F771" s="8">
        <v>0.09</v>
      </c>
      <c r="G771" s="4">
        <v>56</v>
      </c>
      <c r="H771" s="8">
        <v>2.91</v>
      </c>
      <c r="I771" s="4">
        <v>0</v>
      </c>
    </row>
    <row r="772" spans="1:9" x14ac:dyDescent="0.2">
      <c r="A772" s="2">
        <v>15</v>
      </c>
      <c r="B772" s="1" t="s">
        <v>101</v>
      </c>
      <c r="C772" s="4">
        <v>95</v>
      </c>
      <c r="D772" s="8">
        <v>2.23</v>
      </c>
      <c r="E772" s="4">
        <v>38</v>
      </c>
      <c r="F772" s="8">
        <v>1.66</v>
      </c>
      <c r="G772" s="4">
        <v>57</v>
      </c>
      <c r="H772" s="8">
        <v>2.96</v>
      </c>
      <c r="I772" s="4">
        <v>0</v>
      </c>
    </row>
    <row r="773" spans="1:9" x14ac:dyDescent="0.2">
      <c r="A773" s="2">
        <v>16</v>
      </c>
      <c r="B773" s="1" t="s">
        <v>109</v>
      </c>
      <c r="C773" s="4">
        <v>85</v>
      </c>
      <c r="D773" s="8">
        <v>1.99</v>
      </c>
      <c r="E773" s="4">
        <v>15</v>
      </c>
      <c r="F773" s="8">
        <v>0.66</v>
      </c>
      <c r="G773" s="4">
        <v>70</v>
      </c>
      <c r="H773" s="8">
        <v>3.64</v>
      </c>
      <c r="I773" s="4">
        <v>0</v>
      </c>
    </row>
    <row r="774" spans="1:9" x14ac:dyDescent="0.2">
      <c r="A774" s="2">
        <v>17</v>
      </c>
      <c r="B774" s="1" t="s">
        <v>105</v>
      </c>
      <c r="C774" s="4">
        <v>81</v>
      </c>
      <c r="D774" s="8">
        <v>1.9</v>
      </c>
      <c r="E774" s="4">
        <v>53</v>
      </c>
      <c r="F774" s="8">
        <v>2.3199999999999998</v>
      </c>
      <c r="G774" s="4">
        <v>28</v>
      </c>
      <c r="H774" s="8">
        <v>1.45</v>
      </c>
      <c r="I774" s="4">
        <v>0</v>
      </c>
    </row>
    <row r="775" spans="1:9" x14ac:dyDescent="0.2">
      <c r="A775" s="2">
        <v>18</v>
      </c>
      <c r="B775" s="1" t="s">
        <v>130</v>
      </c>
      <c r="C775" s="4">
        <v>66</v>
      </c>
      <c r="D775" s="8">
        <v>1.55</v>
      </c>
      <c r="E775" s="4">
        <v>35</v>
      </c>
      <c r="F775" s="8">
        <v>1.53</v>
      </c>
      <c r="G775" s="4">
        <v>29</v>
      </c>
      <c r="H775" s="8">
        <v>1.51</v>
      </c>
      <c r="I775" s="4">
        <v>1</v>
      </c>
    </row>
    <row r="776" spans="1:9" x14ac:dyDescent="0.2">
      <c r="A776" s="2">
        <v>19</v>
      </c>
      <c r="B776" s="1" t="s">
        <v>102</v>
      </c>
      <c r="C776" s="4">
        <v>62</v>
      </c>
      <c r="D776" s="8">
        <v>1.46</v>
      </c>
      <c r="E776" s="4">
        <v>15</v>
      </c>
      <c r="F776" s="8">
        <v>0.66</v>
      </c>
      <c r="G776" s="4">
        <v>47</v>
      </c>
      <c r="H776" s="8">
        <v>2.44</v>
      </c>
      <c r="I776" s="4">
        <v>0</v>
      </c>
    </row>
    <row r="777" spans="1:9" x14ac:dyDescent="0.2">
      <c r="A777" s="2">
        <v>20</v>
      </c>
      <c r="B777" s="1" t="s">
        <v>129</v>
      </c>
      <c r="C777" s="4">
        <v>57</v>
      </c>
      <c r="D777" s="8">
        <v>1.34</v>
      </c>
      <c r="E777" s="4">
        <v>45</v>
      </c>
      <c r="F777" s="8">
        <v>1.97</v>
      </c>
      <c r="G777" s="4">
        <v>12</v>
      </c>
      <c r="H777" s="8">
        <v>0.62</v>
      </c>
      <c r="I777" s="4">
        <v>0</v>
      </c>
    </row>
    <row r="778" spans="1:9" x14ac:dyDescent="0.2">
      <c r="A778" s="1"/>
      <c r="C778" s="4"/>
      <c r="D778" s="8"/>
      <c r="E778" s="4"/>
      <c r="F778" s="8"/>
      <c r="G778" s="4"/>
      <c r="H778" s="8"/>
      <c r="I778" s="4"/>
    </row>
    <row r="779" spans="1:9" x14ac:dyDescent="0.2">
      <c r="A779" s="1" t="s">
        <v>35</v>
      </c>
      <c r="C779" s="4"/>
      <c r="D779" s="8"/>
      <c r="E779" s="4"/>
      <c r="F779" s="8"/>
      <c r="G779" s="4"/>
      <c r="H779" s="8"/>
      <c r="I779" s="4"/>
    </row>
    <row r="780" spans="1:9" x14ac:dyDescent="0.2">
      <c r="A780" s="2">
        <v>1</v>
      </c>
      <c r="B780" s="1" t="s">
        <v>110</v>
      </c>
      <c r="C780" s="4">
        <v>1093</v>
      </c>
      <c r="D780" s="8">
        <v>13.65</v>
      </c>
      <c r="E780" s="4">
        <v>208</v>
      </c>
      <c r="F780" s="8">
        <v>5.74</v>
      </c>
      <c r="G780" s="4">
        <v>885</v>
      </c>
      <c r="H780" s="8">
        <v>20.420000000000002</v>
      </c>
      <c r="I780" s="4">
        <v>0</v>
      </c>
    </row>
    <row r="781" spans="1:9" x14ac:dyDescent="0.2">
      <c r="A781" s="2">
        <v>2</v>
      </c>
      <c r="B781" s="1" t="s">
        <v>113</v>
      </c>
      <c r="C781" s="4">
        <v>879</v>
      </c>
      <c r="D781" s="8">
        <v>10.98</v>
      </c>
      <c r="E781" s="4">
        <v>788</v>
      </c>
      <c r="F781" s="8">
        <v>21.74</v>
      </c>
      <c r="G781" s="4">
        <v>91</v>
      </c>
      <c r="H781" s="8">
        <v>2.1</v>
      </c>
      <c r="I781" s="4">
        <v>0</v>
      </c>
    </row>
    <row r="782" spans="1:9" x14ac:dyDescent="0.2">
      <c r="A782" s="2">
        <v>3</v>
      </c>
      <c r="B782" s="1" t="s">
        <v>114</v>
      </c>
      <c r="C782" s="4">
        <v>713</v>
      </c>
      <c r="D782" s="8">
        <v>8.9</v>
      </c>
      <c r="E782" s="4">
        <v>587</v>
      </c>
      <c r="F782" s="8">
        <v>16.190000000000001</v>
      </c>
      <c r="G782" s="4">
        <v>126</v>
      </c>
      <c r="H782" s="8">
        <v>2.91</v>
      </c>
      <c r="I782" s="4">
        <v>0</v>
      </c>
    </row>
    <row r="783" spans="1:9" x14ac:dyDescent="0.2">
      <c r="A783" s="2">
        <v>4</v>
      </c>
      <c r="B783" s="1" t="s">
        <v>108</v>
      </c>
      <c r="C783" s="4">
        <v>375</v>
      </c>
      <c r="D783" s="8">
        <v>4.68</v>
      </c>
      <c r="E783" s="4">
        <v>218</v>
      </c>
      <c r="F783" s="8">
        <v>6.01</v>
      </c>
      <c r="G783" s="4">
        <v>157</v>
      </c>
      <c r="H783" s="8">
        <v>3.62</v>
      </c>
      <c r="I783" s="4">
        <v>0</v>
      </c>
    </row>
    <row r="784" spans="1:9" x14ac:dyDescent="0.2">
      <c r="A784" s="2">
        <v>5</v>
      </c>
      <c r="B784" s="1" t="s">
        <v>116</v>
      </c>
      <c r="C784" s="4">
        <v>358</v>
      </c>
      <c r="D784" s="8">
        <v>4.47</v>
      </c>
      <c r="E784" s="4">
        <v>309</v>
      </c>
      <c r="F784" s="8">
        <v>8.52</v>
      </c>
      <c r="G784" s="4">
        <v>49</v>
      </c>
      <c r="H784" s="8">
        <v>1.1299999999999999</v>
      </c>
      <c r="I784" s="4">
        <v>0</v>
      </c>
    </row>
    <row r="785" spans="1:9" x14ac:dyDescent="0.2">
      <c r="A785" s="2">
        <v>6</v>
      </c>
      <c r="B785" s="1" t="s">
        <v>115</v>
      </c>
      <c r="C785" s="4">
        <v>344</v>
      </c>
      <c r="D785" s="8">
        <v>4.3</v>
      </c>
      <c r="E785" s="4">
        <v>216</v>
      </c>
      <c r="F785" s="8">
        <v>5.96</v>
      </c>
      <c r="G785" s="4">
        <v>124</v>
      </c>
      <c r="H785" s="8">
        <v>2.86</v>
      </c>
      <c r="I785" s="4">
        <v>3</v>
      </c>
    </row>
    <row r="786" spans="1:9" x14ac:dyDescent="0.2">
      <c r="A786" s="2">
        <v>7</v>
      </c>
      <c r="B786" s="1" t="s">
        <v>106</v>
      </c>
      <c r="C786" s="4">
        <v>287</v>
      </c>
      <c r="D786" s="8">
        <v>3.58</v>
      </c>
      <c r="E786" s="4">
        <v>192</v>
      </c>
      <c r="F786" s="8">
        <v>5.3</v>
      </c>
      <c r="G786" s="4">
        <v>95</v>
      </c>
      <c r="H786" s="8">
        <v>2.19</v>
      </c>
      <c r="I786" s="4">
        <v>0</v>
      </c>
    </row>
    <row r="787" spans="1:9" x14ac:dyDescent="0.2">
      <c r="A787" s="2">
        <v>8</v>
      </c>
      <c r="B787" s="1" t="s">
        <v>98</v>
      </c>
      <c r="C787" s="4">
        <v>286</v>
      </c>
      <c r="D787" s="8">
        <v>3.57</v>
      </c>
      <c r="E787" s="4">
        <v>39</v>
      </c>
      <c r="F787" s="8">
        <v>1.08</v>
      </c>
      <c r="G787" s="4">
        <v>247</v>
      </c>
      <c r="H787" s="8">
        <v>5.7</v>
      </c>
      <c r="I787" s="4">
        <v>0</v>
      </c>
    </row>
    <row r="788" spans="1:9" x14ac:dyDescent="0.2">
      <c r="A788" s="2">
        <v>9</v>
      </c>
      <c r="B788" s="1" t="s">
        <v>99</v>
      </c>
      <c r="C788" s="4">
        <v>270</v>
      </c>
      <c r="D788" s="8">
        <v>3.37</v>
      </c>
      <c r="E788" s="4">
        <v>64</v>
      </c>
      <c r="F788" s="8">
        <v>1.77</v>
      </c>
      <c r="G788" s="4">
        <v>206</v>
      </c>
      <c r="H788" s="8">
        <v>4.75</v>
      </c>
      <c r="I788" s="4">
        <v>0</v>
      </c>
    </row>
    <row r="789" spans="1:9" x14ac:dyDescent="0.2">
      <c r="A789" s="2">
        <v>9</v>
      </c>
      <c r="B789" s="1" t="s">
        <v>111</v>
      </c>
      <c r="C789" s="4">
        <v>270</v>
      </c>
      <c r="D789" s="8">
        <v>3.37</v>
      </c>
      <c r="E789" s="4">
        <v>122</v>
      </c>
      <c r="F789" s="8">
        <v>3.37</v>
      </c>
      <c r="G789" s="4">
        <v>148</v>
      </c>
      <c r="H789" s="8">
        <v>3.42</v>
      </c>
      <c r="I789" s="4">
        <v>0</v>
      </c>
    </row>
    <row r="790" spans="1:9" x14ac:dyDescent="0.2">
      <c r="A790" s="2">
        <v>11</v>
      </c>
      <c r="B790" s="1" t="s">
        <v>100</v>
      </c>
      <c r="C790" s="4">
        <v>237</v>
      </c>
      <c r="D790" s="8">
        <v>2.96</v>
      </c>
      <c r="E790" s="4">
        <v>54</v>
      </c>
      <c r="F790" s="8">
        <v>1.49</v>
      </c>
      <c r="G790" s="4">
        <v>183</v>
      </c>
      <c r="H790" s="8">
        <v>4.22</v>
      </c>
      <c r="I790" s="4">
        <v>0</v>
      </c>
    </row>
    <row r="791" spans="1:9" x14ac:dyDescent="0.2">
      <c r="A791" s="2">
        <v>12</v>
      </c>
      <c r="B791" s="1" t="s">
        <v>101</v>
      </c>
      <c r="C791" s="4">
        <v>215</v>
      </c>
      <c r="D791" s="8">
        <v>2.69</v>
      </c>
      <c r="E791" s="4">
        <v>70</v>
      </c>
      <c r="F791" s="8">
        <v>1.93</v>
      </c>
      <c r="G791" s="4">
        <v>145</v>
      </c>
      <c r="H791" s="8">
        <v>3.35</v>
      </c>
      <c r="I791" s="4">
        <v>0</v>
      </c>
    </row>
    <row r="792" spans="1:9" x14ac:dyDescent="0.2">
      <c r="A792" s="2">
        <v>13</v>
      </c>
      <c r="B792" s="1" t="s">
        <v>107</v>
      </c>
      <c r="C792" s="4">
        <v>176</v>
      </c>
      <c r="D792" s="8">
        <v>2.2000000000000002</v>
      </c>
      <c r="E792" s="4">
        <v>95</v>
      </c>
      <c r="F792" s="8">
        <v>2.62</v>
      </c>
      <c r="G792" s="4">
        <v>81</v>
      </c>
      <c r="H792" s="8">
        <v>1.87</v>
      </c>
      <c r="I792" s="4">
        <v>0</v>
      </c>
    </row>
    <row r="793" spans="1:9" x14ac:dyDescent="0.2">
      <c r="A793" s="2">
        <v>14</v>
      </c>
      <c r="B793" s="1" t="s">
        <v>105</v>
      </c>
      <c r="C793" s="4">
        <v>162</v>
      </c>
      <c r="D793" s="8">
        <v>2.02</v>
      </c>
      <c r="E793" s="4">
        <v>88</v>
      </c>
      <c r="F793" s="8">
        <v>2.4300000000000002</v>
      </c>
      <c r="G793" s="4">
        <v>74</v>
      </c>
      <c r="H793" s="8">
        <v>1.71</v>
      </c>
      <c r="I793" s="4">
        <v>0</v>
      </c>
    </row>
    <row r="794" spans="1:9" x14ac:dyDescent="0.2">
      <c r="A794" s="2">
        <v>15</v>
      </c>
      <c r="B794" s="1" t="s">
        <v>109</v>
      </c>
      <c r="C794" s="4">
        <v>161</v>
      </c>
      <c r="D794" s="8">
        <v>2.0099999999999998</v>
      </c>
      <c r="E794" s="4">
        <v>24</v>
      </c>
      <c r="F794" s="8">
        <v>0.66</v>
      </c>
      <c r="G794" s="4">
        <v>137</v>
      </c>
      <c r="H794" s="8">
        <v>3.16</v>
      </c>
      <c r="I794" s="4">
        <v>0</v>
      </c>
    </row>
    <row r="795" spans="1:9" x14ac:dyDescent="0.2">
      <c r="A795" s="2">
        <v>16</v>
      </c>
      <c r="B795" s="1" t="s">
        <v>127</v>
      </c>
      <c r="C795" s="4">
        <v>156</v>
      </c>
      <c r="D795" s="8">
        <v>1.95</v>
      </c>
      <c r="E795" s="4">
        <v>40</v>
      </c>
      <c r="F795" s="8">
        <v>1.1000000000000001</v>
      </c>
      <c r="G795" s="4">
        <v>116</v>
      </c>
      <c r="H795" s="8">
        <v>2.68</v>
      </c>
      <c r="I795" s="4">
        <v>0</v>
      </c>
    </row>
    <row r="796" spans="1:9" x14ac:dyDescent="0.2">
      <c r="A796" s="2">
        <v>17</v>
      </c>
      <c r="B796" s="1" t="s">
        <v>117</v>
      </c>
      <c r="C796" s="4">
        <v>149</v>
      </c>
      <c r="D796" s="8">
        <v>1.86</v>
      </c>
      <c r="E796" s="4">
        <v>1</v>
      </c>
      <c r="F796" s="8">
        <v>0.03</v>
      </c>
      <c r="G796" s="4">
        <v>127</v>
      </c>
      <c r="H796" s="8">
        <v>2.93</v>
      </c>
      <c r="I796" s="4">
        <v>0</v>
      </c>
    </row>
    <row r="797" spans="1:9" x14ac:dyDescent="0.2">
      <c r="A797" s="2">
        <v>18</v>
      </c>
      <c r="B797" s="1" t="s">
        <v>112</v>
      </c>
      <c r="C797" s="4">
        <v>136</v>
      </c>
      <c r="D797" s="8">
        <v>1.7</v>
      </c>
      <c r="E797" s="4">
        <v>54</v>
      </c>
      <c r="F797" s="8">
        <v>1.49</v>
      </c>
      <c r="G797" s="4">
        <v>81</v>
      </c>
      <c r="H797" s="8">
        <v>1.87</v>
      </c>
      <c r="I797" s="4">
        <v>1</v>
      </c>
    </row>
    <row r="798" spans="1:9" x14ac:dyDescent="0.2">
      <c r="A798" s="2">
        <v>19</v>
      </c>
      <c r="B798" s="1" t="s">
        <v>104</v>
      </c>
      <c r="C798" s="4">
        <v>117</v>
      </c>
      <c r="D798" s="8">
        <v>1.46</v>
      </c>
      <c r="E798" s="4">
        <v>19</v>
      </c>
      <c r="F798" s="8">
        <v>0.52</v>
      </c>
      <c r="G798" s="4">
        <v>98</v>
      </c>
      <c r="H798" s="8">
        <v>2.2599999999999998</v>
      </c>
      <c r="I798" s="4">
        <v>0</v>
      </c>
    </row>
    <row r="799" spans="1:9" x14ac:dyDescent="0.2">
      <c r="A799" s="2">
        <v>20</v>
      </c>
      <c r="B799" s="1" t="s">
        <v>103</v>
      </c>
      <c r="C799" s="4">
        <v>116</v>
      </c>
      <c r="D799" s="8">
        <v>1.45</v>
      </c>
      <c r="E799" s="4">
        <v>7</v>
      </c>
      <c r="F799" s="8">
        <v>0.19</v>
      </c>
      <c r="G799" s="4">
        <v>109</v>
      </c>
      <c r="H799" s="8">
        <v>2.52</v>
      </c>
      <c r="I799" s="4">
        <v>0</v>
      </c>
    </row>
    <row r="800" spans="1:9" x14ac:dyDescent="0.2">
      <c r="A800" s="1"/>
      <c r="C800" s="4"/>
      <c r="D800" s="8"/>
      <c r="E800" s="4"/>
      <c r="F800" s="8"/>
      <c r="G800" s="4"/>
      <c r="H800" s="8"/>
      <c r="I800" s="4"/>
    </row>
    <row r="801" spans="1:9" x14ac:dyDescent="0.2">
      <c r="A801" s="1" t="s">
        <v>36</v>
      </c>
      <c r="C801" s="4"/>
      <c r="D801" s="8"/>
      <c r="E801" s="4"/>
      <c r="F801" s="8"/>
      <c r="G801" s="4"/>
      <c r="H801" s="8"/>
      <c r="I801" s="4"/>
    </row>
    <row r="802" spans="1:9" x14ac:dyDescent="0.2">
      <c r="A802" s="2">
        <v>1</v>
      </c>
      <c r="B802" s="1" t="s">
        <v>113</v>
      </c>
      <c r="C802" s="4">
        <v>313</v>
      </c>
      <c r="D802" s="8">
        <v>14.27</v>
      </c>
      <c r="E802" s="4">
        <v>279</v>
      </c>
      <c r="F802" s="8">
        <v>24.67</v>
      </c>
      <c r="G802" s="4">
        <v>34</v>
      </c>
      <c r="H802" s="8">
        <v>3.22</v>
      </c>
      <c r="I802" s="4">
        <v>0</v>
      </c>
    </row>
    <row r="803" spans="1:9" x14ac:dyDescent="0.2">
      <c r="A803" s="2">
        <v>2</v>
      </c>
      <c r="B803" s="1" t="s">
        <v>110</v>
      </c>
      <c r="C803" s="4">
        <v>301</v>
      </c>
      <c r="D803" s="8">
        <v>13.73</v>
      </c>
      <c r="E803" s="4">
        <v>103</v>
      </c>
      <c r="F803" s="8">
        <v>9.11</v>
      </c>
      <c r="G803" s="4">
        <v>198</v>
      </c>
      <c r="H803" s="8">
        <v>18.77</v>
      </c>
      <c r="I803" s="4">
        <v>0</v>
      </c>
    </row>
    <row r="804" spans="1:9" x14ac:dyDescent="0.2">
      <c r="A804" s="2">
        <v>3</v>
      </c>
      <c r="B804" s="1" t="s">
        <v>114</v>
      </c>
      <c r="C804" s="4">
        <v>205</v>
      </c>
      <c r="D804" s="8">
        <v>9.35</v>
      </c>
      <c r="E804" s="4">
        <v>171</v>
      </c>
      <c r="F804" s="8">
        <v>15.12</v>
      </c>
      <c r="G804" s="4">
        <v>34</v>
      </c>
      <c r="H804" s="8">
        <v>3.22</v>
      </c>
      <c r="I804" s="4">
        <v>0</v>
      </c>
    </row>
    <row r="805" spans="1:9" x14ac:dyDescent="0.2">
      <c r="A805" s="2">
        <v>4</v>
      </c>
      <c r="B805" s="1" t="s">
        <v>108</v>
      </c>
      <c r="C805" s="4">
        <v>124</v>
      </c>
      <c r="D805" s="8">
        <v>5.65</v>
      </c>
      <c r="E805" s="4">
        <v>90</v>
      </c>
      <c r="F805" s="8">
        <v>7.96</v>
      </c>
      <c r="G805" s="4">
        <v>33</v>
      </c>
      <c r="H805" s="8">
        <v>3.13</v>
      </c>
      <c r="I805" s="4">
        <v>1</v>
      </c>
    </row>
    <row r="806" spans="1:9" x14ac:dyDescent="0.2">
      <c r="A806" s="2">
        <v>5</v>
      </c>
      <c r="B806" s="1" t="s">
        <v>98</v>
      </c>
      <c r="C806" s="4">
        <v>115</v>
      </c>
      <c r="D806" s="8">
        <v>5.24</v>
      </c>
      <c r="E806" s="4">
        <v>20</v>
      </c>
      <c r="F806" s="8">
        <v>1.77</v>
      </c>
      <c r="G806" s="4">
        <v>95</v>
      </c>
      <c r="H806" s="8">
        <v>9</v>
      </c>
      <c r="I806" s="4">
        <v>0</v>
      </c>
    </row>
    <row r="807" spans="1:9" x14ac:dyDescent="0.2">
      <c r="A807" s="2">
        <v>6</v>
      </c>
      <c r="B807" s="1" t="s">
        <v>116</v>
      </c>
      <c r="C807" s="4">
        <v>104</v>
      </c>
      <c r="D807" s="8">
        <v>4.74</v>
      </c>
      <c r="E807" s="4">
        <v>90</v>
      </c>
      <c r="F807" s="8">
        <v>7.96</v>
      </c>
      <c r="G807" s="4">
        <v>14</v>
      </c>
      <c r="H807" s="8">
        <v>1.33</v>
      </c>
      <c r="I807" s="4">
        <v>0</v>
      </c>
    </row>
    <row r="808" spans="1:9" x14ac:dyDescent="0.2">
      <c r="A808" s="2">
        <v>7</v>
      </c>
      <c r="B808" s="1" t="s">
        <v>115</v>
      </c>
      <c r="C808" s="4">
        <v>92</v>
      </c>
      <c r="D808" s="8">
        <v>4.2</v>
      </c>
      <c r="E808" s="4">
        <v>66</v>
      </c>
      <c r="F808" s="8">
        <v>5.84</v>
      </c>
      <c r="G808" s="4">
        <v>26</v>
      </c>
      <c r="H808" s="8">
        <v>2.46</v>
      </c>
      <c r="I808" s="4">
        <v>0</v>
      </c>
    </row>
    <row r="809" spans="1:9" x14ac:dyDescent="0.2">
      <c r="A809" s="2">
        <v>8</v>
      </c>
      <c r="B809" s="1" t="s">
        <v>106</v>
      </c>
      <c r="C809" s="4">
        <v>75</v>
      </c>
      <c r="D809" s="8">
        <v>3.42</v>
      </c>
      <c r="E809" s="4">
        <v>50</v>
      </c>
      <c r="F809" s="8">
        <v>4.42</v>
      </c>
      <c r="G809" s="4">
        <v>25</v>
      </c>
      <c r="H809" s="8">
        <v>2.37</v>
      </c>
      <c r="I809" s="4">
        <v>0</v>
      </c>
    </row>
    <row r="810" spans="1:9" x14ac:dyDescent="0.2">
      <c r="A810" s="2">
        <v>8</v>
      </c>
      <c r="B810" s="1" t="s">
        <v>111</v>
      </c>
      <c r="C810" s="4">
        <v>75</v>
      </c>
      <c r="D810" s="8">
        <v>3.42</v>
      </c>
      <c r="E810" s="4">
        <v>40</v>
      </c>
      <c r="F810" s="8">
        <v>3.54</v>
      </c>
      <c r="G810" s="4">
        <v>35</v>
      </c>
      <c r="H810" s="8">
        <v>3.32</v>
      </c>
      <c r="I810" s="4">
        <v>0</v>
      </c>
    </row>
    <row r="811" spans="1:9" x14ac:dyDescent="0.2">
      <c r="A811" s="2">
        <v>10</v>
      </c>
      <c r="B811" s="1" t="s">
        <v>100</v>
      </c>
      <c r="C811" s="4">
        <v>73</v>
      </c>
      <c r="D811" s="8">
        <v>3.33</v>
      </c>
      <c r="E811" s="4">
        <v>10</v>
      </c>
      <c r="F811" s="8">
        <v>0.88</v>
      </c>
      <c r="G811" s="4">
        <v>63</v>
      </c>
      <c r="H811" s="8">
        <v>5.97</v>
      </c>
      <c r="I811" s="4">
        <v>0</v>
      </c>
    </row>
    <row r="812" spans="1:9" x14ac:dyDescent="0.2">
      <c r="A812" s="2">
        <v>11</v>
      </c>
      <c r="B812" s="1" t="s">
        <v>109</v>
      </c>
      <c r="C812" s="4">
        <v>57</v>
      </c>
      <c r="D812" s="8">
        <v>2.6</v>
      </c>
      <c r="E812" s="4">
        <v>8</v>
      </c>
      <c r="F812" s="8">
        <v>0.71</v>
      </c>
      <c r="G812" s="4">
        <v>49</v>
      </c>
      <c r="H812" s="8">
        <v>4.6399999999999997</v>
      </c>
      <c r="I812" s="4">
        <v>0</v>
      </c>
    </row>
    <row r="813" spans="1:9" x14ac:dyDescent="0.2">
      <c r="A813" s="2">
        <v>12</v>
      </c>
      <c r="B813" s="1" t="s">
        <v>107</v>
      </c>
      <c r="C813" s="4">
        <v>56</v>
      </c>
      <c r="D813" s="8">
        <v>2.5499999999999998</v>
      </c>
      <c r="E813" s="4">
        <v>29</v>
      </c>
      <c r="F813" s="8">
        <v>2.56</v>
      </c>
      <c r="G813" s="4">
        <v>27</v>
      </c>
      <c r="H813" s="8">
        <v>2.56</v>
      </c>
      <c r="I813" s="4">
        <v>0</v>
      </c>
    </row>
    <row r="814" spans="1:9" x14ac:dyDescent="0.2">
      <c r="A814" s="2">
        <v>13</v>
      </c>
      <c r="B814" s="1" t="s">
        <v>99</v>
      </c>
      <c r="C814" s="4">
        <v>48</v>
      </c>
      <c r="D814" s="8">
        <v>2.19</v>
      </c>
      <c r="E814" s="4">
        <v>12</v>
      </c>
      <c r="F814" s="8">
        <v>1.06</v>
      </c>
      <c r="G814" s="4">
        <v>36</v>
      </c>
      <c r="H814" s="8">
        <v>3.41</v>
      </c>
      <c r="I814" s="4">
        <v>0</v>
      </c>
    </row>
    <row r="815" spans="1:9" x14ac:dyDescent="0.2">
      <c r="A815" s="2">
        <v>14</v>
      </c>
      <c r="B815" s="1" t="s">
        <v>105</v>
      </c>
      <c r="C815" s="4">
        <v>47</v>
      </c>
      <c r="D815" s="8">
        <v>2.14</v>
      </c>
      <c r="E815" s="4">
        <v>37</v>
      </c>
      <c r="F815" s="8">
        <v>3.27</v>
      </c>
      <c r="G815" s="4">
        <v>10</v>
      </c>
      <c r="H815" s="8">
        <v>0.95</v>
      </c>
      <c r="I815" s="4">
        <v>0</v>
      </c>
    </row>
    <row r="816" spans="1:9" x14ac:dyDescent="0.2">
      <c r="A816" s="2">
        <v>15</v>
      </c>
      <c r="B816" s="1" t="s">
        <v>112</v>
      </c>
      <c r="C816" s="4">
        <v>41</v>
      </c>
      <c r="D816" s="8">
        <v>1.87</v>
      </c>
      <c r="E816" s="4">
        <v>16</v>
      </c>
      <c r="F816" s="8">
        <v>1.41</v>
      </c>
      <c r="G816" s="4">
        <v>25</v>
      </c>
      <c r="H816" s="8">
        <v>2.37</v>
      </c>
      <c r="I816" s="4">
        <v>0</v>
      </c>
    </row>
    <row r="817" spans="1:9" x14ac:dyDescent="0.2">
      <c r="A817" s="2">
        <v>16</v>
      </c>
      <c r="B817" s="1" t="s">
        <v>104</v>
      </c>
      <c r="C817" s="4">
        <v>39</v>
      </c>
      <c r="D817" s="8">
        <v>1.78</v>
      </c>
      <c r="E817" s="4">
        <v>11</v>
      </c>
      <c r="F817" s="8">
        <v>0.97</v>
      </c>
      <c r="G817" s="4">
        <v>28</v>
      </c>
      <c r="H817" s="8">
        <v>2.65</v>
      </c>
      <c r="I817" s="4">
        <v>0</v>
      </c>
    </row>
    <row r="818" spans="1:9" x14ac:dyDescent="0.2">
      <c r="A818" s="2">
        <v>17</v>
      </c>
      <c r="B818" s="1" t="s">
        <v>103</v>
      </c>
      <c r="C818" s="4">
        <v>36</v>
      </c>
      <c r="D818" s="8">
        <v>1.64</v>
      </c>
      <c r="E818" s="4">
        <v>5</v>
      </c>
      <c r="F818" s="8">
        <v>0.44</v>
      </c>
      <c r="G818" s="4">
        <v>31</v>
      </c>
      <c r="H818" s="8">
        <v>2.94</v>
      </c>
      <c r="I818" s="4">
        <v>0</v>
      </c>
    </row>
    <row r="819" spans="1:9" x14ac:dyDescent="0.2">
      <c r="A819" s="2">
        <v>18</v>
      </c>
      <c r="B819" s="1" t="s">
        <v>117</v>
      </c>
      <c r="C819" s="4">
        <v>33</v>
      </c>
      <c r="D819" s="8">
        <v>1.5</v>
      </c>
      <c r="E819" s="4">
        <v>0</v>
      </c>
      <c r="F819" s="8">
        <v>0</v>
      </c>
      <c r="G819" s="4">
        <v>32</v>
      </c>
      <c r="H819" s="8">
        <v>3.03</v>
      </c>
      <c r="I819" s="4">
        <v>0</v>
      </c>
    </row>
    <row r="820" spans="1:9" x14ac:dyDescent="0.2">
      <c r="A820" s="2">
        <v>19</v>
      </c>
      <c r="B820" s="1" t="s">
        <v>130</v>
      </c>
      <c r="C820" s="4">
        <v>27</v>
      </c>
      <c r="D820" s="8">
        <v>1.23</v>
      </c>
      <c r="E820" s="4">
        <v>10</v>
      </c>
      <c r="F820" s="8">
        <v>0.88</v>
      </c>
      <c r="G820" s="4">
        <v>17</v>
      </c>
      <c r="H820" s="8">
        <v>1.61</v>
      </c>
      <c r="I820" s="4">
        <v>0</v>
      </c>
    </row>
    <row r="821" spans="1:9" x14ac:dyDescent="0.2">
      <c r="A821" s="2">
        <v>19</v>
      </c>
      <c r="B821" s="1" t="s">
        <v>119</v>
      </c>
      <c r="C821" s="4">
        <v>27</v>
      </c>
      <c r="D821" s="8">
        <v>1.23</v>
      </c>
      <c r="E821" s="4">
        <v>5</v>
      </c>
      <c r="F821" s="8">
        <v>0.44</v>
      </c>
      <c r="G821" s="4">
        <v>21</v>
      </c>
      <c r="H821" s="8">
        <v>1.99</v>
      </c>
      <c r="I821" s="4">
        <v>1</v>
      </c>
    </row>
    <row r="822" spans="1:9" x14ac:dyDescent="0.2">
      <c r="A822" s="1"/>
      <c r="C822" s="4"/>
      <c r="D822" s="8"/>
      <c r="E822" s="4"/>
      <c r="F822" s="8"/>
      <c r="G822" s="4"/>
      <c r="H822" s="8"/>
      <c r="I822" s="4"/>
    </row>
    <row r="823" spans="1:9" x14ac:dyDescent="0.2">
      <c r="A823" s="1" t="s">
        <v>37</v>
      </c>
      <c r="C823" s="4"/>
      <c r="D823" s="8"/>
      <c r="E823" s="4"/>
      <c r="F823" s="8"/>
      <c r="G823" s="4"/>
      <c r="H823" s="8"/>
      <c r="I823" s="4"/>
    </row>
    <row r="824" spans="1:9" x14ac:dyDescent="0.2">
      <c r="A824" s="2">
        <v>1</v>
      </c>
      <c r="B824" s="1" t="s">
        <v>110</v>
      </c>
      <c r="C824" s="4">
        <v>906</v>
      </c>
      <c r="D824" s="8">
        <v>14.84</v>
      </c>
      <c r="E824" s="4">
        <v>115</v>
      </c>
      <c r="F824" s="8">
        <v>5.0599999999999996</v>
      </c>
      <c r="G824" s="4">
        <v>790</v>
      </c>
      <c r="H824" s="8">
        <v>21.04</v>
      </c>
      <c r="I824" s="4">
        <v>1</v>
      </c>
    </row>
    <row r="825" spans="1:9" x14ac:dyDescent="0.2">
      <c r="A825" s="2">
        <v>2</v>
      </c>
      <c r="B825" s="1" t="s">
        <v>113</v>
      </c>
      <c r="C825" s="4">
        <v>551</v>
      </c>
      <c r="D825" s="8">
        <v>9.0299999999999994</v>
      </c>
      <c r="E825" s="4">
        <v>468</v>
      </c>
      <c r="F825" s="8">
        <v>20.59</v>
      </c>
      <c r="G825" s="4">
        <v>82</v>
      </c>
      <c r="H825" s="8">
        <v>2.1800000000000002</v>
      </c>
      <c r="I825" s="4">
        <v>1</v>
      </c>
    </row>
    <row r="826" spans="1:9" x14ac:dyDescent="0.2">
      <c r="A826" s="2">
        <v>3</v>
      </c>
      <c r="B826" s="1" t="s">
        <v>114</v>
      </c>
      <c r="C826" s="4">
        <v>501</v>
      </c>
      <c r="D826" s="8">
        <v>8.2100000000000009</v>
      </c>
      <c r="E826" s="4">
        <v>390</v>
      </c>
      <c r="F826" s="8">
        <v>17.16</v>
      </c>
      <c r="G826" s="4">
        <v>111</v>
      </c>
      <c r="H826" s="8">
        <v>2.96</v>
      </c>
      <c r="I826" s="4">
        <v>0</v>
      </c>
    </row>
    <row r="827" spans="1:9" x14ac:dyDescent="0.2">
      <c r="A827" s="2">
        <v>4</v>
      </c>
      <c r="B827" s="1" t="s">
        <v>115</v>
      </c>
      <c r="C827" s="4">
        <v>306</v>
      </c>
      <c r="D827" s="8">
        <v>5.01</v>
      </c>
      <c r="E827" s="4">
        <v>162</v>
      </c>
      <c r="F827" s="8">
        <v>7.13</v>
      </c>
      <c r="G827" s="4">
        <v>93</v>
      </c>
      <c r="H827" s="8">
        <v>2.48</v>
      </c>
      <c r="I827" s="4">
        <v>17</v>
      </c>
    </row>
    <row r="828" spans="1:9" x14ac:dyDescent="0.2">
      <c r="A828" s="2">
        <v>5</v>
      </c>
      <c r="B828" s="1" t="s">
        <v>116</v>
      </c>
      <c r="C828" s="4">
        <v>289</v>
      </c>
      <c r="D828" s="8">
        <v>4.7300000000000004</v>
      </c>
      <c r="E828" s="4">
        <v>238</v>
      </c>
      <c r="F828" s="8">
        <v>10.47</v>
      </c>
      <c r="G828" s="4">
        <v>51</v>
      </c>
      <c r="H828" s="8">
        <v>1.36</v>
      </c>
      <c r="I828" s="4">
        <v>0</v>
      </c>
    </row>
    <row r="829" spans="1:9" x14ac:dyDescent="0.2">
      <c r="A829" s="2">
        <v>6</v>
      </c>
      <c r="B829" s="1" t="s">
        <v>111</v>
      </c>
      <c r="C829" s="4">
        <v>263</v>
      </c>
      <c r="D829" s="8">
        <v>4.3099999999999996</v>
      </c>
      <c r="E829" s="4">
        <v>131</v>
      </c>
      <c r="F829" s="8">
        <v>5.76</v>
      </c>
      <c r="G829" s="4">
        <v>132</v>
      </c>
      <c r="H829" s="8">
        <v>3.52</v>
      </c>
      <c r="I829" s="4">
        <v>0</v>
      </c>
    </row>
    <row r="830" spans="1:9" x14ac:dyDescent="0.2">
      <c r="A830" s="2">
        <v>7</v>
      </c>
      <c r="B830" s="1" t="s">
        <v>108</v>
      </c>
      <c r="C830" s="4">
        <v>260</v>
      </c>
      <c r="D830" s="8">
        <v>4.26</v>
      </c>
      <c r="E830" s="4">
        <v>140</v>
      </c>
      <c r="F830" s="8">
        <v>6.16</v>
      </c>
      <c r="G830" s="4">
        <v>120</v>
      </c>
      <c r="H830" s="8">
        <v>3.2</v>
      </c>
      <c r="I830" s="4">
        <v>0</v>
      </c>
    </row>
    <row r="831" spans="1:9" x14ac:dyDescent="0.2">
      <c r="A831" s="2">
        <v>8</v>
      </c>
      <c r="B831" s="1" t="s">
        <v>98</v>
      </c>
      <c r="C831" s="4">
        <v>252</v>
      </c>
      <c r="D831" s="8">
        <v>4.13</v>
      </c>
      <c r="E831" s="4">
        <v>27</v>
      </c>
      <c r="F831" s="8">
        <v>1.19</v>
      </c>
      <c r="G831" s="4">
        <v>225</v>
      </c>
      <c r="H831" s="8">
        <v>5.99</v>
      </c>
      <c r="I831" s="4">
        <v>0</v>
      </c>
    </row>
    <row r="832" spans="1:9" x14ac:dyDescent="0.2">
      <c r="A832" s="2">
        <v>9</v>
      </c>
      <c r="B832" s="1" t="s">
        <v>106</v>
      </c>
      <c r="C832" s="4">
        <v>214</v>
      </c>
      <c r="D832" s="8">
        <v>3.51</v>
      </c>
      <c r="E832" s="4">
        <v>155</v>
      </c>
      <c r="F832" s="8">
        <v>6.82</v>
      </c>
      <c r="G832" s="4">
        <v>59</v>
      </c>
      <c r="H832" s="8">
        <v>1.57</v>
      </c>
      <c r="I832" s="4">
        <v>0</v>
      </c>
    </row>
    <row r="833" spans="1:9" x14ac:dyDescent="0.2">
      <c r="A833" s="2">
        <v>10</v>
      </c>
      <c r="B833" s="1" t="s">
        <v>103</v>
      </c>
      <c r="C833" s="4">
        <v>193</v>
      </c>
      <c r="D833" s="8">
        <v>3.16</v>
      </c>
      <c r="E833" s="4">
        <v>7</v>
      </c>
      <c r="F833" s="8">
        <v>0.31</v>
      </c>
      <c r="G833" s="4">
        <v>186</v>
      </c>
      <c r="H833" s="8">
        <v>4.95</v>
      </c>
      <c r="I833" s="4">
        <v>0</v>
      </c>
    </row>
    <row r="834" spans="1:9" x14ac:dyDescent="0.2">
      <c r="A834" s="2">
        <v>11</v>
      </c>
      <c r="B834" s="1" t="s">
        <v>99</v>
      </c>
      <c r="C834" s="4">
        <v>182</v>
      </c>
      <c r="D834" s="8">
        <v>2.98</v>
      </c>
      <c r="E834" s="4">
        <v>26</v>
      </c>
      <c r="F834" s="8">
        <v>1.1399999999999999</v>
      </c>
      <c r="G834" s="4">
        <v>156</v>
      </c>
      <c r="H834" s="8">
        <v>4.1500000000000004</v>
      </c>
      <c r="I834" s="4">
        <v>0</v>
      </c>
    </row>
    <row r="835" spans="1:9" x14ac:dyDescent="0.2">
      <c r="A835" s="2">
        <v>11</v>
      </c>
      <c r="B835" s="1" t="s">
        <v>100</v>
      </c>
      <c r="C835" s="4">
        <v>182</v>
      </c>
      <c r="D835" s="8">
        <v>2.98</v>
      </c>
      <c r="E835" s="4">
        <v>16</v>
      </c>
      <c r="F835" s="8">
        <v>0.7</v>
      </c>
      <c r="G835" s="4">
        <v>166</v>
      </c>
      <c r="H835" s="8">
        <v>4.42</v>
      </c>
      <c r="I835" s="4">
        <v>0</v>
      </c>
    </row>
    <row r="836" spans="1:9" x14ac:dyDescent="0.2">
      <c r="A836" s="2">
        <v>13</v>
      </c>
      <c r="B836" s="1" t="s">
        <v>109</v>
      </c>
      <c r="C836" s="4">
        <v>145</v>
      </c>
      <c r="D836" s="8">
        <v>2.38</v>
      </c>
      <c r="E836" s="4">
        <v>16</v>
      </c>
      <c r="F836" s="8">
        <v>0.7</v>
      </c>
      <c r="G836" s="4">
        <v>129</v>
      </c>
      <c r="H836" s="8">
        <v>3.44</v>
      </c>
      <c r="I836" s="4">
        <v>0</v>
      </c>
    </row>
    <row r="837" spans="1:9" x14ac:dyDescent="0.2">
      <c r="A837" s="2">
        <v>14</v>
      </c>
      <c r="B837" s="1" t="s">
        <v>112</v>
      </c>
      <c r="C837" s="4">
        <v>143</v>
      </c>
      <c r="D837" s="8">
        <v>2.34</v>
      </c>
      <c r="E837" s="4">
        <v>43</v>
      </c>
      <c r="F837" s="8">
        <v>1.89</v>
      </c>
      <c r="G837" s="4">
        <v>100</v>
      </c>
      <c r="H837" s="8">
        <v>2.66</v>
      </c>
      <c r="I837" s="4">
        <v>0</v>
      </c>
    </row>
    <row r="838" spans="1:9" x14ac:dyDescent="0.2">
      <c r="A838" s="2">
        <v>15</v>
      </c>
      <c r="B838" s="1" t="s">
        <v>105</v>
      </c>
      <c r="C838" s="4">
        <v>134</v>
      </c>
      <c r="D838" s="8">
        <v>2.2000000000000002</v>
      </c>
      <c r="E838" s="4">
        <v>57</v>
      </c>
      <c r="F838" s="8">
        <v>2.5099999999999998</v>
      </c>
      <c r="G838" s="4">
        <v>77</v>
      </c>
      <c r="H838" s="8">
        <v>2.0499999999999998</v>
      </c>
      <c r="I838" s="4">
        <v>0</v>
      </c>
    </row>
    <row r="839" spans="1:9" x14ac:dyDescent="0.2">
      <c r="A839" s="2">
        <v>16</v>
      </c>
      <c r="B839" s="1" t="s">
        <v>104</v>
      </c>
      <c r="C839" s="4">
        <v>125</v>
      </c>
      <c r="D839" s="8">
        <v>2.0499999999999998</v>
      </c>
      <c r="E839" s="4">
        <v>10</v>
      </c>
      <c r="F839" s="8">
        <v>0.44</v>
      </c>
      <c r="G839" s="4">
        <v>115</v>
      </c>
      <c r="H839" s="8">
        <v>3.06</v>
      </c>
      <c r="I839" s="4">
        <v>0</v>
      </c>
    </row>
    <row r="840" spans="1:9" x14ac:dyDescent="0.2">
      <c r="A840" s="2">
        <v>17</v>
      </c>
      <c r="B840" s="1" t="s">
        <v>107</v>
      </c>
      <c r="C840" s="4">
        <v>105</v>
      </c>
      <c r="D840" s="8">
        <v>1.72</v>
      </c>
      <c r="E840" s="4">
        <v>58</v>
      </c>
      <c r="F840" s="8">
        <v>2.5499999999999998</v>
      </c>
      <c r="G840" s="4">
        <v>47</v>
      </c>
      <c r="H840" s="8">
        <v>1.25</v>
      </c>
      <c r="I840" s="4">
        <v>0</v>
      </c>
    </row>
    <row r="841" spans="1:9" x14ac:dyDescent="0.2">
      <c r="A841" s="2">
        <v>18</v>
      </c>
      <c r="B841" s="1" t="s">
        <v>102</v>
      </c>
      <c r="C841" s="4">
        <v>101</v>
      </c>
      <c r="D841" s="8">
        <v>1.65</v>
      </c>
      <c r="E841" s="4">
        <v>9</v>
      </c>
      <c r="F841" s="8">
        <v>0.4</v>
      </c>
      <c r="G841" s="4">
        <v>92</v>
      </c>
      <c r="H841" s="8">
        <v>2.4500000000000002</v>
      </c>
      <c r="I841" s="4">
        <v>0</v>
      </c>
    </row>
    <row r="842" spans="1:9" x14ac:dyDescent="0.2">
      <c r="A842" s="2">
        <v>19</v>
      </c>
      <c r="B842" s="1" t="s">
        <v>119</v>
      </c>
      <c r="C842" s="4">
        <v>100</v>
      </c>
      <c r="D842" s="8">
        <v>1.64</v>
      </c>
      <c r="E842" s="4">
        <v>5</v>
      </c>
      <c r="F842" s="8">
        <v>0.22</v>
      </c>
      <c r="G842" s="4">
        <v>93</v>
      </c>
      <c r="H842" s="8">
        <v>2.48</v>
      </c>
      <c r="I842" s="4">
        <v>2</v>
      </c>
    </row>
    <row r="843" spans="1:9" x14ac:dyDescent="0.2">
      <c r="A843" s="2">
        <v>20</v>
      </c>
      <c r="B843" s="1" t="s">
        <v>117</v>
      </c>
      <c r="C843" s="4">
        <v>95</v>
      </c>
      <c r="D843" s="8">
        <v>1.56</v>
      </c>
      <c r="E843" s="4">
        <v>1</v>
      </c>
      <c r="F843" s="8">
        <v>0.04</v>
      </c>
      <c r="G843" s="4">
        <v>84</v>
      </c>
      <c r="H843" s="8">
        <v>2.2400000000000002</v>
      </c>
      <c r="I843" s="4">
        <v>2</v>
      </c>
    </row>
    <row r="844" spans="1:9" x14ac:dyDescent="0.2">
      <c r="A844" s="1"/>
      <c r="C844" s="4"/>
      <c r="D844" s="8"/>
      <c r="E844" s="4"/>
      <c r="F844" s="8"/>
      <c r="G844" s="4"/>
      <c r="H844" s="8"/>
      <c r="I844" s="4"/>
    </row>
    <row r="845" spans="1:9" x14ac:dyDescent="0.2">
      <c r="A845" s="1" t="s">
        <v>38</v>
      </c>
      <c r="C845" s="4"/>
      <c r="D845" s="8"/>
      <c r="E845" s="4"/>
      <c r="F845" s="8"/>
      <c r="G845" s="4"/>
      <c r="H845" s="8"/>
      <c r="I845" s="4"/>
    </row>
    <row r="846" spans="1:9" x14ac:dyDescent="0.2">
      <c r="A846" s="2">
        <v>1</v>
      </c>
      <c r="B846" s="1" t="s">
        <v>110</v>
      </c>
      <c r="C846" s="4">
        <v>312</v>
      </c>
      <c r="D846" s="8">
        <v>17</v>
      </c>
      <c r="E846" s="4">
        <v>166</v>
      </c>
      <c r="F846" s="8">
        <v>15.37</v>
      </c>
      <c r="G846" s="4">
        <v>145</v>
      </c>
      <c r="H846" s="8">
        <v>19.329999999999998</v>
      </c>
      <c r="I846" s="4">
        <v>1</v>
      </c>
    </row>
    <row r="847" spans="1:9" x14ac:dyDescent="0.2">
      <c r="A847" s="2">
        <v>2</v>
      </c>
      <c r="B847" s="1" t="s">
        <v>113</v>
      </c>
      <c r="C847" s="4">
        <v>238</v>
      </c>
      <c r="D847" s="8">
        <v>12.97</v>
      </c>
      <c r="E847" s="4">
        <v>226</v>
      </c>
      <c r="F847" s="8">
        <v>20.93</v>
      </c>
      <c r="G847" s="4">
        <v>12</v>
      </c>
      <c r="H847" s="8">
        <v>1.6</v>
      </c>
      <c r="I847" s="4">
        <v>0</v>
      </c>
    </row>
    <row r="848" spans="1:9" x14ac:dyDescent="0.2">
      <c r="A848" s="2">
        <v>3</v>
      </c>
      <c r="B848" s="1" t="s">
        <v>114</v>
      </c>
      <c r="C848" s="4">
        <v>133</v>
      </c>
      <c r="D848" s="8">
        <v>7.25</v>
      </c>
      <c r="E848" s="4">
        <v>115</v>
      </c>
      <c r="F848" s="8">
        <v>10.65</v>
      </c>
      <c r="G848" s="4">
        <v>18</v>
      </c>
      <c r="H848" s="8">
        <v>2.4</v>
      </c>
      <c r="I848" s="4">
        <v>0</v>
      </c>
    </row>
    <row r="849" spans="1:9" x14ac:dyDescent="0.2">
      <c r="A849" s="2">
        <v>4</v>
      </c>
      <c r="B849" s="1" t="s">
        <v>120</v>
      </c>
      <c r="C849" s="4">
        <v>128</v>
      </c>
      <c r="D849" s="8">
        <v>6.98</v>
      </c>
      <c r="E849" s="4">
        <v>76</v>
      </c>
      <c r="F849" s="8">
        <v>7.04</v>
      </c>
      <c r="G849" s="4">
        <v>52</v>
      </c>
      <c r="H849" s="8">
        <v>6.93</v>
      </c>
      <c r="I849" s="4">
        <v>0</v>
      </c>
    </row>
    <row r="850" spans="1:9" x14ac:dyDescent="0.2">
      <c r="A850" s="2">
        <v>5</v>
      </c>
      <c r="B850" s="1" t="s">
        <v>108</v>
      </c>
      <c r="C850" s="4">
        <v>89</v>
      </c>
      <c r="D850" s="8">
        <v>4.8499999999999996</v>
      </c>
      <c r="E850" s="4">
        <v>61</v>
      </c>
      <c r="F850" s="8">
        <v>5.65</v>
      </c>
      <c r="G850" s="4">
        <v>28</v>
      </c>
      <c r="H850" s="8">
        <v>3.73</v>
      </c>
      <c r="I850" s="4">
        <v>0</v>
      </c>
    </row>
    <row r="851" spans="1:9" x14ac:dyDescent="0.2">
      <c r="A851" s="2">
        <v>6</v>
      </c>
      <c r="B851" s="1" t="s">
        <v>115</v>
      </c>
      <c r="C851" s="4">
        <v>71</v>
      </c>
      <c r="D851" s="8">
        <v>3.87</v>
      </c>
      <c r="E851" s="4">
        <v>55</v>
      </c>
      <c r="F851" s="8">
        <v>5.09</v>
      </c>
      <c r="G851" s="4">
        <v>16</v>
      </c>
      <c r="H851" s="8">
        <v>2.13</v>
      </c>
      <c r="I851" s="4">
        <v>0</v>
      </c>
    </row>
    <row r="852" spans="1:9" x14ac:dyDescent="0.2">
      <c r="A852" s="2">
        <v>7</v>
      </c>
      <c r="B852" s="1" t="s">
        <v>116</v>
      </c>
      <c r="C852" s="4">
        <v>67</v>
      </c>
      <c r="D852" s="8">
        <v>3.65</v>
      </c>
      <c r="E852" s="4">
        <v>61</v>
      </c>
      <c r="F852" s="8">
        <v>5.65</v>
      </c>
      <c r="G852" s="4">
        <v>6</v>
      </c>
      <c r="H852" s="8">
        <v>0.8</v>
      </c>
      <c r="I852" s="4">
        <v>0</v>
      </c>
    </row>
    <row r="853" spans="1:9" x14ac:dyDescent="0.2">
      <c r="A853" s="2">
        <v>8</v>
      </c>
      <c r="B853" s="1" t="s">
        <v>98</v>
      </c>
      <c r="C853" s="4">
        <v>64</v>
      </c>
      <c r="D853" s="8">
        <v>3.49</v>
      </c>
      <c r="E853" s="4">
        <v>17</v>
      </c>
      <c r="F853" s="8">
        <v>1.57</v>
      </c>
      <c r="G853" s="4">
        <v>47</v>
      </c>
      <c r="H853" s="8">
        <v>6.27</v>
      </c>
      <c r="I853" s="4">
        <v>0</v>
      </c>
    </row>
    <row r="854" spans="1:9" x14ac:dyDescent="0.2">
      <c r="A854" s="2">
        <v>9</v>
      </c>
      <c r="B854" s="1" t="s">
        <v>106</v>
      </c>
      <c r="C854" s="4">
        <v>57</v>
      </c>
      <c r="D854" s="8">
        <v>3.11</v>
      </c>
      <c r="E854" s="4">
        <v>45</v>
      </c>
      <c r="F854" s="8">
        <v>4.17</v>
      </c>
      <c r="G854" s="4">
        <v>12</v>
      </c>
      <c r="H854" s="8">
        <v>1.6</v>
      </c>
      <c r="I854" s="4">
        <v>0</v>
      </c>
    </row>
    <row r="855" spans="1:9" x14ac:dyDescent="0.2">
      <c r="A855" s="2">
        <v>10</v>
      </c>
      <c r="B855" s="1" t="s">
        <v>100</v>
      </c>
      <c r="C855" s="4">
        <v>54</v>
      </c>
      <c r="D855" s="8">
        <v>2.94</v>
      </c>
      <c r="E855" s="4">
        <v>14</v>
      </c>
      <c r="F855" s="8">
        <v>1.3</v>
      </c>
      <c r="G855" s="4">
        <v>40</v>
      </c>
      <c r="H855" s="8">
        <v>5.33</v>
      </c>
      <c r="I855" s="4">
        <v>0</v>
      </c>
    </row>
    <row r="856" spans="1:9" x14ac:dyDescent="0.2">
      <c r="A856" s="2">
        <v>11</v>
      </c>
      <c r="B856" s="1" t="s">
        <v>107</v>
      </c>
      <c r="C856" s="4">
        <v>43</v>
      </c>
      <c r="D856" s="8">
        <v>2.34</v>
      </c>
      <c r="E856" s="4">
        <v>25</v>
      </c>
      <c r="F856" s="8">
        <v>2.31</v>
      </c>
      <c r="G856" s="4">
        <v>18</v>
      </c>
      <c r="H856" s="8">
        <v>2.4</v>
      </c>
      <c r="I856" s="4">
        <v>0</v>
      </c>
    </row>
    <row r="857" spans="1:9" x14ac:dyDescent="0.2">
      <c r="A857" s="2">
        <v>11</v>
      </c>
      <c r="B857" s="1" t="s">
        <v>111</v>
      </c>
      <c r="C857" s="4">
        <v>43</v>
      </c>
      <c r="D857" s="8">
        <v>2.34</v>
      </c>
      <c r="E857" s="4">
        <v>32</v>
      </c>
      <c r="F857" s="8">
        <v>2.96</v>
      </c>
      <c r="G857" s="4">
        <v>11</v>
      </c>
      <c r="H857" s="8">
        <v>1.47</v>
      </c>
      <c r="I857" s="4">
        <v>0</v>
      </c>
    </row>
    <row r="858" spans="1:9" x14ac:dyDescent="0.2">
      <c r="A858" s="2">
        <v>13</v>
      </c>
      <c r="B858" s="1" t="s">
        <v>99</v>
      </c>
      <c r="C858" s="4">
        <v>40</v>
      </c>
      <c r="D858" s="8">
        <v>2.1800000000000002</v>
      </c>
      <c r="E858" s="4">
        <v>17</v>
      </c>
      <c r="F858" s="8">
        <v>1.57</v>
      </c>
      <c r="G858" s="4">
        <v>23</v>
      </c>
      <c r="H858" s="8">
        <v>3.07</v>
      </c>
      <c r="I858" s="4">
        <v>0</v>
      </c>
    </row>
    <row r="859" spans="1:9" x14ac:dyDescent="0.2">
      <c r="A859" s="2">
        <v>14</v>
      </c>
      <c r="B859" s="1" t="s">
        <v>105</v>
      </c>
      <c r="C859" s="4">
        <v>38</v>
      </c>
      <c r="D859" s="8">
        <v>2.0699999999999998</v>
      </c>
      <c r="E859" s="4">
        <v>31</v>
      </c>
      <c r="F859" s="8">
        <v>2.87</v>
      </c>
      <c r="G859" s="4">
        <v>7</v>
      </c>
      <c r="H859" s="8">
        <v>0.93</v>
      </c>
      <c r="I859" s="4">
        <v>0</v>
      </c>
    </row>
    <row r="860" spans="1:9" x14ac:dyDescent="0.2">
      <c r="A860" s="2">
        <v>15</v>
      </c>
      <c r="B860" s="1" t="s">
        <v>119</v>
      </c>
      <c r="C860" s="4">
        <v>32</v>
      </c>
      <c r="D860" s="8">
        <v>1.74</v>
      </c>
      <c r="E860" s="4">
        <v>13</v>
      </c>
      <c r="F860" s="8">
        <v>1.2</v>
      </c>
      <c r="G860" s="4">
        <v>19</v>
      </c>
      <c r="H860" s="8">
        <v>2.5299999999999998</v>
      </c>
      <c r="I860" s="4">
        <v>0</v>
      </c>
    </row>
    <row r="861" spans="1:9" x14ac:dyDescent="0.2">
      <c r="A861" s="2">
        <v>16</v>
      </c>
      <c r="B861" s="1" t="s">
        <v>102</v>
      </c>
      <c r="C861" s="4">
        <v>28</v>
      </c>
      <c r="D861" s="8">
        <v>1.53</v>
      </c>
      <c r="E861" s="4">
        <v>4</v>
      </c>
      <c r="F861" s="8">
        <v>0.37</v>
      </c>
      <c r="G861" s="4">
        <v>24</v>
      </c>
      <c r="H861" s="8">
        <v>3.2</v>
      </c>
      <c r="I861" s="4">
        <v>0</v>
      </c>
    </row>
    <row r="862" spans="1:9" x14ac:dyDescent="0.2">
      <c r="A862" s="2">
        <v>17</v>
      </c>
      <c r="B862" s="1" t="s">
        <v>109</v>
      </c>
      <c r="C862" s="4">
        <v>26</v>
      </c>
      <c r="D862" s="8">
        <v>1.42</v>
      </c>
      <c r="E862" s="4">
        <v>3</v>
      </c>
      <c r="F862" s="8">
        <v>0.28000000000000003</v>
      </c>
      <c r="G862" s="4">
        <v>23</v>
      </c>
      <c r="H862" s="8">
        <v>3.07</v>
      </c>
      <c r="I862" s="4">
        <v>0</v>
      </c>
    </row>
    <row r="863" spans="1:9" x14ac:dyDescent="0.2">
      <c r="A863" s="2">
        <v>18</v>
      </c>
      <c r="B863" s="1" t="s">
        <v>129</v>
      </c>
      <c r="C863" s="4">
        <v>24</v>
      </c>
      <c r="D863" s="8">
        <v>1.31</v>
      </c>
      <c r="E863" s="4">
        <v>18</v>
      </c>
      <c r="F863" s="8">
        <v>1.67</v>
      </c>
      <c r="G863" s="4">
        <v>6</v>
      </c>
      <c r="H863" s="8">
        <v>0.8</v>
      </c>
      <c r="I863" s="4">
        <v>0</v>
      </c>
    </row>
    <row r="864" spans="1:9" x14ac:dyDescent="0.2">
      <c r="A864" s="2">
        <v>19</v>
      </c>
      <c r="B864" s="1" t="s">
        <v>118</v>
      </c>
      <c r="C864" s="4">
        <v>23</v>
      </c>
      <c r="D864" s="8">
        <v>1.25</v>
      </c>
      <c r="E864" s="4">
        <v>6</v>
      </c>
      <c r="F864" s="8">
        <v>0.56000000000000005</v>
      </c>
      <c r="G864" s="4">
        <v>17</v>
      </c>
      <c r="H864" s="8">
        <v>2.27</v>
      </c>
      <c r="I864" s="4">
        <v>0</v>
      </c>
    </row>
    <row r="865" spans="1:9" x14ac:dyDescent="0.2">
      <c r="A865" s="2">
        <v>20</v>
      </c>
      <c r="B865" s="1" t="s">
        <v>101</v>
      </c>
      <c r="C865" s="4">
        <v>20</v>
      </c>
      <c r="D865" s="8">
        <v>1.0900000000000001</v>
      </c>
      <c r="E865" s="4">
        <v>7</v>
      </c>
      <c r="F865" s="8">
        <v>0.65</v>
      </c>
      <c r="G865" s="4">
        <v>13</v>
      </c>
      <c r="H865" s="8">
        <v>1.73</v>
      </c>
      <c r="I865" s="4">
        <v>0</v>
      </c>
    </row>
    <row r="866" spans="1:9" x14ac:dyDescent="0.2">
      <c r="A866" s="2">
        <v>20</v>
      </c>
      <c r="B866" s="1" t="s">
        <v>103</v>
      </c>
      <c r="C866" s="4">
        <v>20</v>
      </c>
      <c r="D866" s="8">
        <v>1.0900000000000001</v>
      </c>
      <c r="E866" s="4">
        <v>4</v>
      </c>
      <c r="F866" s="8">
        <v>0.37</v>
      </c>
      <c r="G866" s="4">
        <v>16</v>
      </c>
      <c r="H866" s="8">
        <v>2.13</v>
      </c>
      <c r="I866" s="4">
        <v>0</v>
      </c>
    </row>
    <row r="867" spans="1:9" x14ac:dyDescent="0.2">
      <c r="A867" s="1"/>
      <c r="C867" s="4"/>
      <c r="D867" s="8"/>
      <c r="E867" s="4"/>
      <c r="F867" s="8"/>
      <c r="G867" s="4"/>
      <c r="H867" s="8"/>
      <c r="I867" s="4"/>
    </row>
    <row r="868" spans="1:9" x14ac:dyDescent="0.2">
      <c r="A868" s="1" t="s">
        <v>39</v>
      </c>
      <c r="C868" s="4"/>
      <c r="D868" s="8"/>
      <c r="E868" s="4"/>
      <c r="F868" s="8"/>
      <c r="G868" s="4"/>
      <c r="H868" s="8"/>
      <c r="I868" s="4"/>
    </row>
    <row r="869" spans="1:9" x14ac:dyDescent="0.2">
      <c r="A869" s="2">
        <v>1</v>
      </c>
      <c r="B869" s="1" t="s">
        <v>114</v>
      </c>
      <c r="C869" s="4">
        <v>608</v>
      </c>
      <c r="D869" s="8">
        <v>11.56</v>
      </c>
      <c r="E869" s="4">
        <v>514</v>
      </c>
      <c r="F869" s="8">
        <v>20.32</v>
      </c>
      <c r="G869" s="4">
        <v>94</v>
      </c>
      <c r="H869" s="8">
        <v>3.49</v>
      </c>
      <c r="I869" s="4">
        <v>0</v>
      </c>
    </row>
    <row r="870" spans="1:9" x14ac:dyDescent="0.2">
      <c r="A870" s="2">
        <v>2</v>
      </c>
      <c r="B870" s="1" t="s">
        <v>113</v>
      </c>
      <c r="C870" s="4">
        <v>588</v>
      </c>
      <c r="D870" s="8">
        <v>11.18</v>
      </c>
      <c r="E870" s="4">
        <v>513</v>
      </c>
      <c r="F870" s="8">
        <v>20.28</v>
      </c>
      <c r="G870" s="4">
        <v>73</v>
      </c>
      <c r="H870" s="8">
        <v>2.71</v>
      </c>
      <c r="I870" s="4">
        <v>2</v>
      </c>
    </row>
    <row r="871" spans="1:9" x14ac:dyDescent="0.2">
      <c r="A871" s="2">
        <v>3</v>
      </c>
      <c r="B871" s="1" t="s">
        <v>110</v>
      </c>
      <c r="C871" s="4">
        <v>558</v>
      </c>
      <c r="D871" s="8">
        <v>10.61</v>
      </c>
      <c r="E871" s="4">
        <v>134</v>
      </c>
      <c r="F871" s="8">
        <v>5.3</v>
      </c>
      <c r="G871" s="4">
        <v>423</v>
      </c>
      <c r="H871" s="8">
        <v>15.7</v>
      </c>
      <c r="I871" s="4">
        <v>1</v>
      </c>
    </row>
    <row r="872" spans="1:9" x14ac:dyDescent="0.2">
      <c r="A872" s="2">
        <v>4</v>
      </c>
      <c r="B872" s="1" t="s">
        <v>98</v>
      </c>
      <c r="C872" s="4">
        <v>309</v>
      </c>
      <c r="D872" s="8">
        <v>5.87</v>
      </c>
      <c r="E872" s="4">
        <v>51</v>
      </c>
      <c r="F872" s="8">
        <v>2.02</v>
      </c>
      <c r="G872" s="4">
        <v>258</v>
      </c>
      <c r="H872" s="8">
        <v>9.58</v>
      </c>
      <c r="I872" s="4">
        <v>0</v>
      </c>
    </row>
    <row r="873" spans="1:9" x14ac:dyDescent="0.2">
      <c r="A873" s="2">
        <v>5</v>
      </c>
      <c r="B873" s="1" t="s">
        <v>108</v>
      </c>
      <c r="C873" s="4">
        <v>277</v>
      </c>
      <c r="D873" s="8">
        <v>5.27</v>
      </c>
      <c r="E873" s="4">
        <v>156</v>
      </c>
      <c r="F873" s="8">
        <v>6.17</v>
      </c>
      <c r="G873" s="4">
        <v>121</v>
      </c>
      <c r="H873" s="8">
        <v>4.49</v>
      </c>
      <c r="I873" s="4">
        <v>0</v>
      </c>
    </row>
    <row r="874" spans="1:9" x14ac:dyDescent="0.2">
      <c r="A874" s="2">
        <v>6</v>
      </c>
      <c r="B874" s="1" t="s">
        <v>116</v>
      </c>
      <c r="C874" s="4">
        <v>268</v>
      </c>
      <c r="D874" s="8">
        <v>5.0999999999999996</v>
      </c>
      <c r="E874" s="4">
        <v>219</v>
      </c>
      <c r="F874" s="8">
        <v>8.66</v>
      </c>
      <c r="G874" s="4">
        <v>49</v>
      </c>
      <c r="H874" s="8">
        <v>1.82</v>
      </c>
      <c r="I874" s="4">
        <v>0</v>
      </c>
    </row>
    <row r="875" spans="1:9" x14ac:dyDescent="0.2">
      <c r="A875" s="2">
        <v>7</v>
      </c>
      <c r="B875" s="1" t="s">
        <v>115</v>
      </c>
      <c r="C875" s="4">
        <v>250</v>
      </c>
      <c r="D875" s="8">
        <v>4.75</v>
      </c>
      <c r="E875" s="4">
        <v>165</v>
      </c>
      <c r="F875" s="8">
        <v>6.52</v>
      </c>
      <c r="G875" s="4">
        <v>70</v>
      </c>
      <c r="H875" s="8">
        <v>2.6</v>
      </c>
      <c r="I875" s="4">
        <v>1</v>
      </c>
    </row>
    <row r="876" spans="1:9" x14ac:dyDescent="0.2">
      <c r="A876" s="2">
        <v>8</v>
      </c>
      <c r="B876" s="1" t="s">
        <v>106</v>
      </c>
      <c r="C876" s="4">
        <v>209</v>
      </c>
      <c r="D876" s="8">
        <v>3.97</v>
      </c>
      <c r="E876" s="4">
        <v>130</v>
      </c>
      <c r="F876" s="8">
        <v>5.14</v>
      </c>
      <c r="G876" s="4">
        <v>79</v>
      </c>
      <c r="H876" s="8">
        <v>2.93</v>
      </c>
      <c r="I876" s="4">
        <v>0</v>
      </c>
    </row>
    <row r="877" spans="1:9" x14ac:dyDescent="0.2">
      <c r="A877" s="2">
        <v>9</v>
      </c>
      <c r="B877" s="1" t="s">
        <v>111</v>
      </c>
      <c r="C877" s="4">
        <v>190</v>
      </c>
      <c r="D877" s="8">
        <v>3.61</v>
      </c>
      <c r="E877" s="4">
        <v>99</v>
      </c>
      <c r="F877" s="8">
        <v>3.91</v>
      </c>
      <c r="G877" s="4">
        <v>91</v>
      </c>
      <c r="H877" s="8">
        <v>3.38</v>
      </c>
      <c r="I877" s="4">
        <v>0</v>
      </c>
    </row>
    <row r="878" spans="1:9" x14ac:dyDescent="0.2">
      <c r="A878" s="2">
        <v>10</v>
      </c>
      <c r="B878" s="1" t="s">
        <v>99</v>
      </c>
      <c r="C878" s="4">
        <v>186</v>
      </c>
      <c r="D878" s="8">
        <v>3.54</v>
      </c>
      <c r="E878" s="4">
        <v>42</v>
      </c>
      <c r="F878" s="8">
        <v>1.66</v>
      </c>
      <c r="G878" s="4">
        <v>144</v>
      </c>
      <c r="H878" s="8">
        <v>5.35</v>
      </c>
      <c r="I878" s="4">
        <v>0</v>
      </c>
    </row>
    <row r="879" spans="1:9" x14ac:dyDescent="0.2">
      <c r="A879" s="2">
        <v>11</v>
      </c>
      <c r="B879" s="1" t="s">
        <v>107</v>
      </c>
      <c r="C879" s="4">
        <v>178</v>
      </c>
      <c r="D879" s="8">
        <v>3.38</v>
      </c>
      <c r="E879" s="4">
        <v>118</v>
      </c>
      <c r="F879" s="8">
        <v>4.66</v>
      </c>
      <c r="G879" s="4">
        <v>60</v>
      </c>
      <c r="H879" s="8">
        <v>2.23</v>
      </c>
      <c r="I879" s="4">
        <v>0</v>
      </c>
    </row>
    <row r="880" spans="1:9" x14ac:dyDescent="0.2">
      <c r="A880" s="2">
        <v>12</v>
      </c>
      <c r="B880" s="1" t="s">
        <v>100</v>
      </c>
      <c r="C880" s="4">
        <v>169</v>
      </c>
      <c r="D880" s="8">
        <v>3.21</v>
      </c>
      <c r="E880" s="4">
        <v>19</v>
      </c>
      <c r="F880" s="8">
        <v>0.75</v>
      </c>
      <c r="G880" s="4">
        <v>150</v>
      </c>
      <c r="H880" s="8">
        <v>5.57</v>
      </c>
      <c r="I880" s="4">
        <v>0</v>
      </c>
    </row>
    <row r="881" spans="1:9" x14ac:dyDescent="0.2">
      <c r="A881" s="2">
        <v>13</v>
      </c>
      <c r="B881" s="1" t="s">
        <v>105</v>
      </c>
      <c r="C881" s="4">
        <v>121</v>
      </c>
      <c r="D881" s="8">
        <v>2.2999999999999998</v>
      </c>
      <c r="E881" s="4">
        <v>53</v>
      </c>
      <c r="F881" s="8">
        <v>2.09</v>
      </c>
      <c r="G881" s="4">
        <v>68</v>
      </c>
      <c r="H881" s="8">
        <v>2.52</v>
      </c>
      <c r="I881" s="4">
        <v>0</v>
      </c>
    </row>
    <row r="882" spans="1:9" x14ac:dyDescent="0.2">
      <c r="A882" s="2">
        <v>14</v>
      </c>
      <c r="B882" s="1" t="s">
        <v>130</v>
      </c>
      <c r="C882" s="4">
        <v>115</v>
      </c>
      <c r="D882" s="8">
        <v>2.19</v>
      </c>
      <c r="E882" s="4">
        <v>53</v>
      </c>
      <c r="F882" s="8">
        <v>2.09</v>
      </c>
      <c r="G882" s="4">
        <v>61</v>
      </c>
      <c r="H882" s="8">
        <v>2.2599999999999998</v>
      </c>
      <c r="I882" s="4">
        <v>0</v>
      </c>
    </row>
    <row r="883" spans="1:9" x14ac:dyDescent="0.2">
      <c r="A883" s="2">
        <v>15</v>
      </c>
      <c r="B883" s="1" t="s">
        <v>109</v>
      </c>
      <c r="C883" s="4">
        <v>106</v>
      </c>
      <c r="D883" s="8">
        <v>2.02</v>
      </c>
      <c r="E883" s="4">
        <v>20</v>
      </c>
      <c r="F883" s="8">
        <v>0.79</v>
      </c>
      <c r="G883" s="4">
        <v>86</v>
      </c>
      <c r="H883" s="8">
        <v>3.19</v>
      </c>
      <c r="I883" s="4">
        <v>0</v>
      </c>
    </row>
    <row r="884" spans="1:9" x14ac:dyDescent="0.2">
      <c r="A884" s="2">
        <v>16</v>
      </c>
      <c r="B884" s="1" t="s">
        <v>117</v>
      </c>
      <c r="C884" s="4">
        <v>98</v>
      </c>
      <c r="D884" s="8">
        <v>1.86</v>
      </c>
      <c r="E884" s="4">
        <v>1</v>
      </c>
      <c r="F884" s="8">
        <v>0.04</v>
      </c>
      <c r="G884" s="4">
        <v>86</v>
      </c>
      <c r="H884" s="8">
        <v>3.19</v>
      </c>
      <c r="I884" s="4">
        <v>2</v>
      </c>
    </row>
    <row r="885" spans="1:9" x14ac:dyDescent="0.2">
      <c r="A885" s="2">
        <v>17</v>
      </c>
      <c r="B885" s="1" t="s">
        <v>112</v>
      </c>
      <c r="C885" s="4">
        <v>95</v>
      </c>
      <c r="D885" s="8">
        <v>1.81</v>
      </c>
      <c r="E885" s="4">
        <v>37</v>
      </c>
      <c r="F885" s="8">
        <v>1.46</v>
      </c>
      <c r="G885" s="4">
        <v>57</v>
      </c>
      <c r="H885" s="8">
        <v>2.12</v>
      </c>
      <c r="I885" s="4">
        <v>0</v>
      </c>
    </row>
    <row r="886" spans="1:9" x14ac:dyDescent="0.2">
      <c r="A886" s="2">
        <v>18</v>
      </c>
      <c r="B886" s="1" t="s">
        <v>103</v>
      </c>
      <c r="C886" s="4">
        <v>62</v>
      </c>
      <c r="D886" s="8">
        <v>1.18</v>
      </c>
      <c r="E886" s="4">
        <v>3</v>
      </c>
      <c r="F886" s="8">
        <v>0.12</v>
      </c>
      <c r="G886" s="4">
        <v>59</v>
      </c>
      <c r="H886" s="8">
        <v>2.19</v>
      </c>
      <c r="I886" s="4">
        <v>0</v>
      </c>
    </row>
    <row r="887" spans="1:9" x14ac:dyDescent="0.2">
      <c r="A887" s="2">
        <v>19</v>
      </c>
      <c r="B887" s="1" t="s">
        <v>102</v>
      </c>
      <c r="C887" s="4">
        <v>55</v>
      </c>
      <c r="D887" s="8">
        <v>1.05</v>
      </c>
      <c r="E887" s="4">
        <v>11</v>
      </c>
      <c r="F887" s="8">
        <v>0.43</v>
      </c>
      <c r="G887" s="4">
        <v>44</v>
      </c>
      <c r="H887" s="8">
        <v>1.63</v>
      </c>
      <c r="I887" s="4">
        <v>0</v>
      </c>
    </row>
    <row r="888" spans="1:9" x14ac:dyDescent="0.2">
      <c r="A888" s="2">
        <v>19</v>
      </c>
      <c r="B888" s="1" t="s">
        <v>119</v>
      </c>
      <c r="C888" s="4">
        <v>55</v>
      </c>
      <c r="D888" s="8">
        <v>1.05</v>
      </c>
      <c r="E888" s="4">
        <v>5</v>
      </c>
      <c r="F888" s="8">
        <v>0.2</v>
      </c>
      <c r="G888" s="4">
        <v>49</v>
      </c>
      <c r="H888" s="8">
        <v>1.82</v>
      </c>
      <c r="I888" s="4">
        <v>1</v>
      </c>
    </row>
    <row r="889" spans="1:9" x14ac:dyDescent="0.2">
      <c r="A889" s="1"/>
      <c r="C889" s="4"/>
      <c r="D889" s="8"/>
      <c r="E889" s="4"/>
      <c r="F889" s="8"/>
      <c r="G889" s="4"/>
      <c r="H889" s="8"/>
      <c r="I889" s="4"/>
    </row>
    <row r="890" spans="1:9" x14ac:dyDescent="0.2">
      <c r="A890" s="1" t="s">
        <v>40</v>
      </c>
      <c r="C890" s="4"/>
      <c r="D890" s="8"/>
      <c r="E890" s="4"/>
      <c r="F890" s="8"/>
      <c r="G890" s="4"/>
      <c r="H890" s="8"/>
      <c r="I890" s="4"/>
    </row>
    <row r="891" spans="1:9" x14ac:dyDescent="0.2">
      <c r="A891" s="2">
        <v>1</v>
      </c>
      <c r="B891" s="1" t="s">
        <v>110</v>
      </c>
      <c r="C891" s="4">
        <v>231</v>
      </c>
      <c r="D891" s="8">
        <v>11.85</v>
      </c>
      <c r="E891" s="4">
        <v>139</v>
      </c>
      <c r="F891" s="8">
        <v>12.19</v>
      </c>
      <c r="G891" s="4">
        <v>91</v>
      </c>
      <c r="H891" s="8">
        <v>11.36</v>
      </c>
      <c r="I891" s="4">
        <v>0</v>
      </c>
    </row>
    <row r="892" spans="1:9" x14ac:dyDescent="0.2">
      <c r="A892" s="2">
        <v>2</v>
      </c>
      <c r="B892" s="1" t="s">
        <v>113</v>
      </c>
      <c r="C892" s="4">
        <v>183</v>
      </c>
      <c r="D892" s="8">
        <v>9.39</v>
      </c>
      <c r="E892" s="4">
        <v>170</v>
      </c>
      <c r="F892" s="8">
        <v>14.91</v>
      </c>
      <c r="G892" s="4">
        <v>13</v>
      </c>
      <c r="H892" s="8">
        <v>1.62</v>
      </c>
      <c r="I892" s="4">
        <v>0</v>
      </c>
    </row>
    <row r="893" spans="1:9" x14ac:dyDescent="0.2">
      <c r="A893" s="2">
        <v>3</v>
      </c>
      <c r="B893" s="1" t="s">
        <v>114</v>
      </c>
      <c r="C893" s="4">
        <v>160</v>
      </c>
      <c r="D893" s="8">
        <v>8.2100000000000009</v>
      </c>
      <c r="E893" s="4">
        <v>143</v>
      </c>
      <c r="F893" s="8">
        <v>12.54</v>
      </c>
      <c r="G893" s="4">
        <v>16</v>
      </c>
      <c r="H893" s="8">
        <v>2</v>
      </c>
      <c r="I893" s="4">
        <v>1</v>
      </c>
    </row>
    <row r="894" spans="1:9" x14ac:dyDescent="0.2">
      <c r="A894" s="2">
        <v>4</v>
      </c>
      <c r="B894" s="1" t="s">
        <v>98</v>
      </c>
      <c r="C894" s="4">
        <v>123</v>
      </c>
      <c r="D894" s="8">
        <v>6.31</v>
      </c>
      <c r="E894" s="4">
        <v>31</v>
      </c>
      <c r="F894" s="8">
        <v>2.72</v>
      </c>
      <c r="G894" s="4">
        <v>92</v>
      </c>
      <c r="H894" s="8">
        <v>11.49</v>
      </c>
      <c r="I894" s="4">
        <v>0</v>
      </c>
    </row>
    <row r="895" spans="1:9" x14ac:dyDescent="0.2">
      <c r="A895" s="2">
        <v>5</v>
      </c>
      <c r="B895" s="1" t="s">
        <v>108</v>
      </c>
      <c r="C895" s="4">
        <v>98</v>
      </c>
      <c r="D895" s="8">
        <v>5.03</v>
      </c>
      <c r="E895" s="4">
        <v>56</v>
      </c>
      <c r="F895" s="8">
        <v>4.91</v>
      </c>
      <c r="G895" s="4">
        <v>42</v>
      </c>
      <c r="H895" s="8">
        <v>5.24</v>
      </c>
      <c r="I895" s="4">
        <v>0</v>
      </c>
    </row>
    <row r="896" spans="1:9" x14ac:dyDescent="0.2">
      <c r="A896" s="2">
        <v>6</v>
      </c>
      <c r="B896" s="1" t="s">
        <v>106</v>
      </c>
      <c r="C896" s="4">
        <v>92</v>
      </c>
      <c r="D896" s="8">
        <v>4.72</v>
      </c>
      <c r="E896" s="4">
        <v>80</v>
      </c>
      <c r="F896" s="8">
        <v>7.02</v>
      </c>
      <c r="G896" s="4">
        <v>12</v>
      </c>
      <c r="H896" s="8">
        <v>1.5</v>
      </c>
      <c r="I896" s="4">
        <v>0</v>
      </c>
    </row>
    <row r="897" spans="1:9" x14ac:dyDescent="0.2">
      <c r="A897" s="2">
        <v>7</v>
      </c>
      <c r="B897" s="1" t="s">
        <v>115</v>
      </c>
      <c r="C897" s="4">
        <v>91</v>
      </c>
      <c r="D897" s="8">
        <v>4.67</v>
      </c>
      <c r="E897" s="4">
        <v>80</v>
      </c>
      <c r="F897" s="8">
        <v>7.02</v>
      </c>
      <c r="G897" s="4">
        <v>10</v>
      </c>
      <c r="H897" s="8">
        <v>1.25</v>
      </c>
      <c r="I897" s="4">
        <v>0</v>
      </c>
    </row>
    <row r="898" spans="1:9" x14ac:dyDescent="0.2">
      <c r="A898" s="2">
        <v>8</v>
      </c>
      <c r="B898" s="1" t="s">
        <v>99</v>
      </c>
      <c r="C898" s="4">
        <v>76</v>
      </c>
      <c r="D898" s="8">
        <v>3.9</v>
      </c>
      <c r="E898" s="4">
        <v>34</v>
      </c>
      <c r="F898" s="8">
        <v>2.98</v>
      </c>
      <c r="G898" s="4">
        <v>42</v>
      </c>
      <c r="H898" s="8">
        <v>5.24</v>
      </c>
      <c r="I898" s="4">
        <v>0</v>
      </c>
    </row>
    <row r="899" spans="1:9" x14ac:dyDescent="0.2">
      <c r="A899" s="2">
        <v>9</v>
      </c>
      <c r="B899" s="1" t="s">
        <v>101</v>
      </c>
      <c r="C899" s="4">
        <v>65</v>
      </c>
      <c r="D899" s="8">
        <v>3.34</v>
      </c>
      <c r="E899" s="4">
        <v>23</v>
      </c>
      <c r="F899" s="8">
        <v>2.02</v>
      </c>
      <c r="G899" s="4">
        <v>42</v>
      </c>
      <c r="H899" s="8">
        <v>5.24</v>
      </c>
      <c r="I899" s="4">
        <v>0</v>
      </c>
    </row>
    <row r="900" spans="1:9" x14ac:dyDescent="0.2">
      <c r="A900" s="2">
        <v>10</v>
      </c>
      <c r="B900" s="1" t="s">
        <v>116</v>
      </c>
      <c r="C900" s="4">
        <v>60</v>
      </c>
      <c r="D900" s="8">
        <v>3.08</v>
      </c>
      <c r="E900" s="4">
        <v>55</v>
      </c>
      <c r="F900" s="8">
        <v>4.82</v>
      </c>
      <c r="G900" s="4">
        <v>5</v>
      </c>
      <c r="H900" s="8">
        <v>0.62</v>
      </c>
      <c r="I900" s="4">
        <v>0</v>
      </c>
    </row>
    <row r="901" spans="1:9" x14ac:dyDescent="0.2">
      <c r="A901" s="2">
        <v>11</v>
      </c>
      <c r="B901" s="1" t="s">
        <v>100</v>
      </c>
      <c r="C901" s="4">
        <v>59</v>
      </c>
      <c r="D901" s="8">
        <v>3.03</v>
      </c>
      <c r="E901" s="4">
        <v>15</v>
      </c>
      <c r="F901" s="8">
        <v>1.32</v>
      </c>
      <c r="G901" s="4">
        <v>44</v>
      </c>
      <c r="H901" s="8">
        <v>5.49</v>
      </c>
      <c r="I901" s="4">
        <v>0</v>
      </c>
    </row>
    <row r="902" spans="1:9" x14ac:dyDescent="0.2">
      <c r="A902" s="2">
        <v>11</v>
      </c>
      <c r="B902" s="1" t="s">
        <v>107</v>
      </c>
      <c r="C902" s="4">
        <v>59</v>
      </c>
      <c r="D902" s="8">
        <v>3.03</v>
      </c>
      <c r="E902" s="4">
        <v>44</v>
      </c>
      <c r="F902" s="8">
        <v>3.86</v>
      </c>
      <c r="G902" s="4">
        <v>15</v>
      </c>
      <c r="H902" s="8">
        <v>1.87</v>
      </c>
      <c r="I902" s="4">
        <v>0</v>
      </c>
    </row>
    <row r="903" spans="1:9" x14ac:dyDescent="0.2">
      <c r="A903" s="2">
        <v>13</v>
      </c>
      <c r="B903" s="1" t="s">
        <v>120</v>
      </c>
      <c r="C903" s="4">
        <v>46</v>
      </c>
      <c r="D903" s="8">
        <v>2.36</v>
      </c>
      <c r="E903" s="4">
        <v>22</v>
      </c>
      <c r="F903" s="8">
        <v>1.93</v>
      </c>
      <c r="G903" s="4">
        <v>24</v>
      </c>
      <c r="H903" s="8">
        <v>3</v>
      </c>
      <c r="I903" s="4">
        <v>0</v>
      </c>
    </row>
    <row r="904" spans="1:9" x14ac:dyDescent="0.2">
      <c r="A904" s="2">
        <v>14</v>
      </c>
      <c r="B904" s="1" t="s">
        <v>129</v>
      </c>
      <c r="C904" s="4">
        <v>40</v>
      </c>
      <c r="D904" s="8">
        <v>2.0499999999999998</v>
      </c>
      <c r="E904" s="4">
        <v>37</v>
      </c>
      <c r="F904" s="8">
        <v>3.25</v>
      </c>
      <c r="G904" s="4">
        <v>3</v>
      </c>
      <c r="H904" s="8">
        <v>0.37</v>
      </c>
      <c r="I904" s="4">
        <v>0</v>
      </c>
    </row>
    <row r="905" spans="1:9" x14ac:dyDescent="0.2">
      <c r="A905" s="2">
        <v>15</v>
      </c>
      <c r="B905" s="1" t="s">
        <v>130</v>
      </c>
      <c r="C905" s="4">
        <v>37</v>
      </c>
      <c r="D905" s="8">
        <v>1.9</v>
      </c>
      <c r="E905" s="4">
        <v>17</v>
      </c>
      <c r="F905" s="8">
        <v>1.49</v>
      </c>
      <c r="G905" s="4">
        <v>19</v>
      </c>
      <c r="H905" s="8">
        <v>2.37</v>
      </c>
      <c r="I905" s="4">
        <v>0</v>
      </c>
    </row>
    <row r="906" spans="1:9" x14ac:dyDescent="0.2">
      <c r="A906" s="2">
        <v>16</v>
      </c>
      <c r="B906" s="1" t="s">
        <v>105</v>
      </c>
      <c r="C906" s="4">
        <v>36</v>
      </c>
      <c r="D906" s="8">
        <v>1.85</v>
      </c>
      <c r="E906" s="4">
        <v>27</v>
      </c>
      <c r="F906" s="8">
        <v>2.37</v>
      </c>
      <c r="G906" s="4">
        <v>9</v>
      </c>
      <c r="H906" s="8">
        <v>1.1200000000000001</v>
      </c>
      <c r="I906" s="4">
        <v>0</v>
      </c>
    </row>
    <row r="907" spans="1:9" x14ac:dyDescent="0.2">
      <c r="A907" s="2">
        <v>17</v>
      </c>
      <c r="B907" s="1" t="s">
        <v>111</v>
      </c>
      <c r="C907" s="4">
        <v>32</v>
      </c>
      <c r="D907" s="8">
        <v>1.64</v>
      </c>
      <c r="E907" s="4">
        <v>15</v>
      </c>
      <c r="F907" s="8">
        <v>1.32</v>
      </c>
      <c r="G907" s="4">
        <v>17</v>
      </c>
      <c r="H907" s="8">
        <v>2.12</v>
      </c>
      <c r="I907" s="4">
        <v>0</v>
      </c>
    </row>
    <row r="908" spans="1:9" x14ac:dyDescent="0.2">
      <c r="A908" s="2">
        <v>18</v>
      </c>
      <c r="B908" s="1" t="s">
        <v>104</v>
      </c>
      <c r="C908" s="4">
        <v>29</v>
      </c>
      <c r="D908" s="8">
        <v>1.49</v>
      </c>
      <c r="E908" s="4">
        <v>9</v>
      </c>
      <c r="F908" s="8">
        <v>0.79</v>
      </c>
      <c r="G908" s="4">
        <v>20</v>
      </c>
      <c r="H908" s="8">
        <v>2.5</v>
      </c>
      <c r="I908" s="4">
        <v>0</v>
      </c>
    </row>
    <row r="909" spans="1:9" x14ac:dyDescent="0.2">
      <c r="A909" s="2">
        <v>18</v>
      </c>
      <c r="B909" s="1" t="s">
        <v>117</v>
      </c>
      <c r="C909" s="4">
        <v>29</v>
      </c>
      <c r="D909" s="8">
        <v>1.49</v>
      </c>
      <c r="E909" s="4">
        <v>0</v>
      </c>
      <c r="F909" s="8">
        <v>0</v>
      </c>
      <c r="G909" s="4">
        <v>26</v>
      </c>
      <c r="H909" s="8">
        <v>3.25</v>
      </c>
      <c r="I909" s="4">
        <v>0</v>
      </c>
    </row>
    <row r="910" spans="1:9" x14ac:dyDescent="0.2">
      <c r="A910" s="2">
        <v>20</v>
      </c>
      <c r="B910" s="1" t="s">
        <v>112</v>
      </c>
      <c r="C910" s="4">
        <v>28</v>
      </c>
      <c r="D910" s="8">
        <v>1.44</v>
      </c>
      <c r="E910" s="4">
        <v>18</v>
      </c>
      <c r="F910" s="8">
        <v>1.58</v>
      </c>
      <c r="G910" s="4">
        <v>10</v>
      </c>
      <c r="H910" s="8">
        <v>1.25</v>
      </c>
      <c r="I910" s="4">
        <v>0</v>
      </c>
    </row>
    <row r="911" spans="1:9" x14ac:dyDescent="0.2">
      <c r="A911" s="1"/>
      <c r="C911" s="4"/>
      <c r="D911" s="8"/>
      <c r="E911" s="4"/>
      <c r="F911" s="8"/>
      <c r="G911" s="4"/>
      <c r="H911" s="8"/>
      <c r="I911" s="4"/>
    </row>
    <row r="912" spans="1:9" x14ac:dyDescent="0.2">
      <c r="A912" s="1" t="s">
        <v>41</v>
      </c>
      <c r="C912" s="4"/>
      <c r="D912" s="8"/>
      <c r="E912" s="4"/>
      <c r="F912" s="8"/>
      <c r="G912" s="4"/>
      <c r="H912" s="8"/>
      <c r="I912" s="4"/>
    </row>
    <row r="913" spans="1:9" x14ac:dyDescent="0.2">
      <c r="A913" s="2">
        <v>1</v>
      </c>
      <c r="B913" s="1" t="s">
        <v>113</v>
      </c>
      <c r="C913" s="4">
        <v>440</v>
      </c>
      <c r="D913" s="8">
        <v>11.85</v>
      </c>
      <c r="E913" s="4">
        <v>409</v>
      </c>
      <c r="F913" s="8">
        <v>21.26</v>
      </c>
      <c r="G913" s="4">
        <v>31</v>
      </c>
      <c r="H913" s="8">
        <v>1.74</v>
      </c>
      <c r="I913" s="4">
        <v>0</v>
      </c>
    </row>
    <row r="914" spans="1:9" x14ac:dyDescent="0.2">
      <c r="A914" s="2">
        <v>2</v>
      </c>
      <c r="B914" s="1" t="s">
        <v>114</v>
      </c>
      <c r="C914" s="4">
        <v>327</v>
      </c>
      <c r="D914" s="8">
        <v>8.81</v>
      </c>
      <c r="E914" s="4">
        <v>288</v>
      </c>
      <c r="F914" s="8">
        <v>14.97</v>
      </c>
      <c r="G914" s="4">
        <v>39</v>
      </c>
      <c r="H914" s="8">
        <v>2.19</v>
      </c>
      <c r="I914" s="4">
        <v>0</v>
      </c>
    </row>
    <row r="915" spans="1:9" x14ac:dyDescent="0.2">
      <c r="A915" s="2">
        <v>3</v>
      </c>
      <c r="B915" s="1" t="s">
        <v>110</v>
      </c>
      <c r="C915" s="4">
        <v>324</v>
      </c>
      <c r="D915" s="8">
        <v>8.73</v>
      </c>
      <c r="E915" s="4">
        <v>105</v>
      </c>
      <c r="F915" s="8">
        <v>5.46</v>
      </c>
      <c r="G915" s="4">
        <v>219</v>
      </c>
      <c r="H915" s="8">
        <v>12.3</v>
      </c>
      <c r="I915" s="4">
        <v>0</v>
      </c>
    </row>
    <row r="916" spans="1:9" x14ac:dyDescent="0.2">
      <c r="A916" s="2">
        <v>4</v>
      </c>
      <c r="B916" s="1" t="s">
        <v>108</v>
      </c>
      <c r="C916" s="4">
        <v>219</v>
      </c>
      <c r="D916" s="8">
        <v>5.9</v>
      </c>
      <c r="E916" s="4">
        <v>151</v>
      </c>
      <c r="F916" s="8">
        <v>7.85</v>
      </c>
      <c r="G916" s="4">
        <v>68</v>
      </c>
      <c r="H916" s="8">
        <v>3.82</v>
      </c>
      <c r="I916" s="4">
        <v>0</v>
      </c>
    </row>
    <row r="917" spans="1:9" x14ac:dyDescent="0.2">
      <c r="A917" s="2">
        <v>5</v>
      </c>
      <c r="B917" s="1" t="s">
        <v>98</v>
      </c>
      <c r="C917" s="4">
        <v>172</v>
      </c>
      <c r="D917" s="8">
        <v>4.63</v>
      </c>
      <c r="E917" s="4">
        <v>28</v>
      </c>
      <c r="F917" s="8">
        <v>1.46</v>
      </c>
      <c r="G917" s="4">
        <v>144</v>
      </c>
      <c r="H917" s="8">
        <v>8.09</v>
      </c>
      <c r="I917" s="4">
        <v>0</v>
      </c>
    </row>
    <row r="918" spans="1:9" x14ac:dyDescent="0.2">
      <c r="A918" s="2">
        <v>6</v>
      </c>
      <c r="B918" s="1" t="s">
        <v>99</v>
      </c>
      <c r="C918" s="4">
        <v>166</v>
      </c>
      <c r="D918" s="8">
        <v>4.47</v>
      </c>
      <c r="E918" s="4">
        <v>33</v>
      </c>
      <c r="F918" s="8">
        <v>1.72</v>
      </c>
      <c r="G918" s="4">
        <v>133</v>
      </c>
      <c r="H918" s="8">
        <v>7.47</v>
      </c>
      <c r="I918" s="4">
        <v>0</v>
      </c>
    </row>
    <row r="919" spans="1:9" x14ac:dyDescent="0.2">
      <c r="A919" s="2">
        <v>7</v>
      </c>
      <c r="B919" s="1" t="s">
        <v>100</v>
      </c>
      <c r="C919" s="4">
        <v>154</v>
      </c>
      <c r="D919" s="8">
        <v>4.1500000000000004</v>
      </c>
      <c r="E919" s="4">
        <v>42</v>
      </c>
      <c r="F919" s="8">
        <v>2.1800000000000002</v>
      </c>
      <c r="G919" s="4">
        <v>112</v>
      </c>
      <c r="H919" s="8">
        <v>6.29</v>
      </c>
      <c r="I919" s="4">
        <v>0</v>
      </c>
    </row>
    <row r="920" spans="1:9" x14ac:dyDescent="0.2">
      <c r="A920" s="2">
        <v>8</v>
      </c>
      <c r="B920" s="1" t="s">
        <v>106</v>
      </c>
      <c r="C920" s="4">
        <v>138</v>
      </c>
      <c r="D920" s="8">
        <v>3.72</v>
      </c>
      <c r="E920" s="4">
        <v>102</v>
      </c>
      <c r="F920" s="8">
        <v>5.3</v>
      </c>
      <c r="G920" s="4">
        <v>36</v>
      </c>
      <c r="H920" s="8">
        <v>2.02</v>
      </c>
      <c r="I920" s="4">
        <v>0</v>
      </c>
    </row>
    <row r="921" spans="1:9" x14ac:dyDescent="0.2">
      <c r="A921" s="2">
        <v>9</v>
      </c>
      <c r="B921" s="1" t="s">
        <v>116</v>
      </c>
      <c r="C921" s="4">
        <v>132</v>
      </c>
      <c r="D921" s="8">
        <v>3.56</v>
      </c>
      <c r="E921" s="4">
        <v>115</v>
      </c>
      <c r="F921" s="8">
        <v>5.98</v>
      </c>
      <c r="G921" s="4">
        <v>17</v>
      </c>
      <c r="H921" s="8">
        <v>0.95</v>
      </c>
      <c r="I921" s="4">
        <v>0</v>
      </c>
    </row>
    <row r="922" spans="1:9" x14ac:dyDescent="0.2">
      <c r="A922" s="2">
        <v>10</v>
      </c>
      <c r="B922" s="1" t="s">
        <v>101</v>
      </c>
      <c r="C922" s="4">
        <v>120</v>
      </c>
      <c r="D922" s="8">
        <v>3.23</v>
      </c>
      <c r="E922" s="4">
        <v>48</v>
      </c>
      <c r="F922" s="8">
        <v>2.4900000000000002</v>
      </c>
      <c r="G922" s="4">
        <v>72</v>
      </c>
      <c r="H922" s="8">
        <v>4.04</v>
      </c>
      <c r="I922" s="4">
        <v>0</v>
      </c>
    </row>
    <row r="923" spans="1:9" x14ac:dyDescent="0.2">
      <c r="A923" s="2">
        <v>11</v>
      </c>
      <c r="B923" s="1" t="s">
        <v>107</v>
      </c>
      <c r="C923" s="4">
        <v>91</v>
      </c>
      <c r="D923" s="8">
        <v>2.4500000000000002</v>
      </c>
      <c r="E923" s="4">
        <v>53</v>
      </c>
      <c r="F923" s="8">
        <v>2.75</v>
      </c>
      <c r="G923" s="4">
        <v>38</v>
      </c>
      <c r="H923" s="8">
        <v>2.13</v>
      </c>
      <c r="I923" s="4">
        <v>0</v>
      </c>
    </row>
    <row r="924" spans="1:9" x14ac:dyDescent="0.2">
      <c r="A924" s="2">
        <v>12</v>
      </c>
      <c r="B924" s="1" t="s">
        <v>115</v>
      </c>
      <c r="C924" s="4">
        <v>88</v>
      </c>
      <c r="D924" s="8">
        <v>2.37</v>
      </c>
      <c r="E924" s="4">
        <v>62</v>
      </c>
      <c r="F924" s="8">
        <v>3.22</v>
      </c>
      <c r="G924" s="4">
        <v>20</v>
      </c>
      <c r="H924" s="8">
        <v>1.1200000000000001</v>
      </c>
      <c r="I924" s="4">
        <v>5</v>
      </c>
    </row>
    <row r="925" spans="1:9" x14ac:dyDescent="0.2">
      <c r="A925" s="2">
        <v>13</v>
      </c>
      <c r="B925" s="1" t="s">
        <v>127</v>
      </c>
      <c r="C925" s="4">
        <v>85</v>
      </c>
      <c r="D925" s="8">
        <v>2.29</v>
      </c>
      <c r="E925" s="4">
        <v>36</v>
      </c>
      <c r="F925" s="8">
        <v>1.87</v>
      </c>
      <c r="G925" s="4">
        <v>49</v>
      </c>
      <c r="H925" s="8">
        <v>2.75</v>
      </c>
      <c r="I925" s="4">
        <v>0</v>
      </c>
    </row>
    <row r="926" spans="1:9" x14ac:dyDescent="0.2">
      <c r="A926" s="2">
        <v>14</v>
      </c>
      <c r="B926" s="1" t="s">
        <v>120</v>
      </c>
      <c r="C926" s="4">
        <v>83</v>
      </c>
      <c r="D926" s="8">
        <v>2.2400000000000002</v>
      </c>
      <c r="E926" s="4">
        <v>56</v>
      </c>
      <c r="F926" s="8">
        <v>2.91</v>
      </c>
      <c r="G926" s="4">
        <v>27</v>
      </c>
      <c r="H926" s="8">
        <v>1.52</v>
      </c>
      <c r="I926" s="4">
        <v>0</v>
      </c>
    </row>
    <row r="927" spans="1:9" x14ac:dyDescent="0.2">
      <c r="A927" s="2">
        <v>15</v>
      </c>
      <c r="B927" s="1" t="s">
        <v>105</v>
      </c>
      <c r="C927" s="4">
        <v>81</v>
      </c>
      <c r="D927" s="8">
        <v>2.1800000000000002</v>
      </c>
      <c r="E927" s="4">
        <v>43</v>
      </c>
      <c r="F927" s="8">
        <v>2.23</v>
      </c>
      <c r="G927" s="4">
        <v>38</v>
      </c>
      <c r="H927" s="8">
        <v>2.13</v>
      </c>
      <c r="I927" s="4">
        <v>0</v>
      </c>
    </row>
    <row r="928" spans="1:9" x14ac:dyDescent="0.2">
      <c r="A928" s="2">
        <v>16</v>
      </c>
      <c r="B928" s="1" t="s">
        <v>111</v>
      </c>
      <c r="C928" s="4">
        <v>78</v>
      </c>
      <c r="D928" s="8">
        <v>2.1</v>
      </c>
      <c r="E928" s="4">
        <v>47</v>
      </c>
      <c r="F928" s="8">
        <v>2.44</v>
      </c>
      <c r="G928" s="4">
        <v>31</v>
      </c>
      <c r="H928" s="8">
        <v>1.74</v>
      </c>
      <c r="I928" s="4">
        <v>0</v>
      </c>
    </row>
    <row r="929" spans="1:9" x14ac:dyDescent="0.2">
      <c r="A929" s="2">
        <v>17</v>
      </c>
      <c r="B929" s="1" t="s">
        <v>121</v>
      </c>
      <c r="C929" s="4">
        <v>73</v>
      </c>
      <c r="D929" s="8">
        <v>1.97</v>
      </c>
      <c r="E929" s="4">
        <v>25</v>
      </c>
      <c r="F929" s="8">
        <v>1.3</v>
      </c>
      <c r="G929" s="4">
        <v>48</v>
      </c>
      <c r="H929" s="8">
        <v>2.7</v>
      </c>
      <c r="I929" s="4">
        <v>0</v>
      </c>
    </row>
    <row r="930" spans="1:9" x14ac:dyDescent="0.2">
      <c r="A930" s="2">
        <v>18</v>
      </c>
      <c r="B930" s="1" t="s">
        <v>109</v>
      </c>
      <c r="C930" s="4">
        <v>63</v>
      </c>
      <c r="D930" s="8">
        <v>1.7</v>
      </c>
      <c r="E930" s="4">
        <v>12</v>
      </c>
      <c r="F930" s="8">
        <v>0.62</v>
      </c>
      <c r="G930" s="4">
        <v>51</v>
      </c>
      <c r="H930" s="8">
        <v>2.86</v>
      </c>
      <c r="I930" s="4">
        <v>0</v>
      </c>
    </row>
    <row r="931" spans="1:9" x14ac:dyDescent="0.2">
      <c r="A931" s="2">
        <v>19</v>
      </c>
      <c r="B931" s="1" t="s">
        <v>103</v>
      </c>
      <c r="C931" s="4">
        <v>55</v>
      </c>
      <c r="D931" s="8">
        <v>1.48</v>
      </c>
      <c r="E931" s="4">
        <v>8</v>
      </c>
      <c r="F931" s="8">
        <v>0.42</v>
      </c>
      <c r="G931" s="4">
        <v>47</v>
      </c>
      <c r="H931" s="8">
        <v>2.64</v>
      </c>
      <c r="I931" s="4">
        <v>0</v>
      </c>
    </row>
    <row r="932" spans="1:9" x14ac:dyDescent="0.2">
      <c r="A932" s="2">
        <v>20</v>
      </c>
      <c r="B932" s="1" t="s">
        <v>104</v>
      </c>
      <c r="C932" s="4">
        <v>54</v>
      </c>
      <c r="D932" s="8">
        <v>1.45</v>
      </c>
      <c r="E932" s="4">
        <v>14</v>
      </c>
      <c r="F932" s="8">
        <v>0.73</v>
      </c>
      <c r="G932" s="4">
        <v>40</v>
      </c>
      <c r="H932" s="8">
        <v>2.25</v>
      </c>
      <c r="I932" s="4">
        <v>0</v>
      </c>
    </row>
    <row r="933" spans="1:9" x14ac:dyDescent="0.2">
      <c r="A933" s="1"/>
      <c r="C933" s="4"/>
      <c r="D933" s="8"/>
      <c r="E933" s="4"/>
      <c r="F933" s="8"/>
      <c r="G933" s="4"/>
      <c r="H933" s="8"/>
      <c r="I933" s="4"/>
    </row>
    <row r="934" spans="1:9" x14ac:dyDescent="0.2">
      <c r="A934" s="1" t="s">
        <v>42</v>
      </c>
      <c r="C934" s="4"/>
      <c r="D934" s="8"/>
      <c r="E934" s="4"/>
      <c r="F934" s="8"/>
      <c r="G934" s="4"/>
      <c r="H934" s="8"/>
      <c r="I934" s="4"/>
    </row>
    <row r="935" spans="1:9" x14ac:dyDescent="0.2">
      <c r="A935" s="2">
        <v>1</v>
      </c>
      <c r="B935" s="1" t="s">
        <v>114</v>
      </c>
      <c r="C935" s="4">
        <v>630</v>
      </c>
      <c r="D935" s="8">
        <v>11.89</v>
      </c>
      <c r="E935" s="4">
        <v>530</v>
      </c>
      <c r="F935" s="8">
        <v>20.11</v>
      </c>
      <c r="G935" s="4">
        <v>100</v>
      </c>
      <c r="H935" s="8">
        <v>3.79</v>
      </c>
      <c r="I935" s="4">
        <v>0</v>
      </c>
    </row>
    <row r="936" spans="1:9" x14ac:dyDescent="0.2">
      <c r="A936" s="2">
        <v>2</v>
      </c>
      <c r="B936" s="1" t="s">
        <v>113</v>
      </c>
      <c r="C936" s="4">
        <v>552</v>
      </c>
      <c r="D936" s="8">
        <v>10.42</v>
      </c>
      <c r="E936" s="4">
        <v>492</v>
      </c>
      <c r="F936" s="8">
        <v>18.66</v>
      </c>
      <c r="G936" s="4">
        <v>60</v>
      </c>
      <c r="H936" s="8">
        <v>2.2799999999999998</v>
      </c>
      <c r="I936" s="4">
        <v>0</v>
      </c>
    </row>
    <row r="937" spans="1:9" x14ac:dyDescent="0.2">
      <c r="A937" s="2">
        <v>3</v>
      </c>
      <c r="B937" s="1" t="s">
        <v>110</v>
      </c>
      <c r="C937" s="4">
        <v>480</v>
      </c>
      <c r="D937" s="8">
        <v>9.06</v>
      </c>
      <c r="E937" s="4">
        <v>129</v>
      </c>
      <c r="F937" s="8">
        <v>4.8899999999999997</v>
      </c>
      <c r="G937" s="4">
        <v>351</v>
      </c>
      <c r="H937" s="8">
        <v>13.31</v>
      </c>
      <c r="I937" s="4">
        <v>0</v>
      </c>
    </row>
    <row r="938" spans="1:9" x14ac:dyDescent="0.2">
      <c r="A938" s="2">
        <v>4</v>
      </c>
      <c r="B938" s="1" t="s">
        <v>98</v>
      </c>
      <c r="C938" s="4">
        <v>332</v>
      </c>
      <c r="D938" s="8">
        <v>6.27</v>
      </c>
      <c r="E938" s="4">
        <v>56</v>
      </c>
      <c r="F938" s="8">
        <v>2.12</v>
      </c>
      <c r="G938" s="4">
        <v>276</v>
      </c>
      <c r="H938" s="8">
        <v>10.47</v>
      </c>
      <c r="I938" s="4">
        <v>0</v>
      </c>
    </row>
    <row r="939" spans="1:9" x14ac:dyDescent="0.2">
      <c r="A939" s="2">
        <v>5</v>
      </c>
      <c r="B939" s="1" t="s">
        <v>108</v>
      </c>
      <c r="C939" s="4">
        <v>292</v>
      </c>
      <c r="D939" s="8">
        <v>5.51</v>
      </c>
      <c r="E939" s="4">
        <v>152</v>
      </c>
      <c r="F939" s="8">
        <v>5.77</v>
      </c>
      <c r="G939" s="4">
        <v>140</v>
      </c>
      <c r="H939" s="8">
        <v>5.31</v>
      </c>
      <c r="I939" s="4">
        <v>0</v>
      </c>
    </row>
    <row r="940" spans="1:9" x14ac:dyDescent="0.2">
      <c r="A940" s="2">
        <v>6</v>
      </c>
      <c r="B940" s="1" t="s">
        <v>116</v>
      </c>
      <c r="C940" s="4">
        <v>277</v>
      </c>
      <c r="D940" s="8">
        <v>5.23</v>
      </c>
      <c r="E940" s="4">
        <v>236</v>
      </c>
      <c r="F940" s="8">
        <v>8.9499999999999993</v>
      </c>
      <c r="G940" s="4">
        <v>41</v>
      </c>
      <c r="H940" s="8">
        <v>1.55</v>
      </c>
      <c r="I940" s="4">
        <v>0</v>
      </c>
    </row>
    <row r="941" spans="1:9" x14ac:dyDescent="0.2">
      <c r="A941" s="2">
        <v>7</v>
      </c>
      <c r="B941" s="1" t="s">
        <v>115</v>
      </c>
      <c r="C941" s="4">
        <v>274</v>
      </c>
      <c r="D941" s="8">
        <v>5.17</v>
      </c>
      <c r="E941" s="4">
        <v>198</v>
      </c>
      <c r="F941" s="8">
        <v>7.51</v>
      </c>
      <c r="G941" s="4">
        <v>69</v>
      </c>
      <c r="H941" s="8">
        <v>2.62</v>
      </c>
      <c r="I941" s="4">
        <v>1</v>
      </c>
    </row>
    <row r="942" spans="1:9" x14ac:dyDescent="0.2">
      <c r="A942" s="2">
        <v>8</v>
      </c>
      <c r="B942" s="1" t="s">
        <v>106</v>
      </c>
      <c r="C942" s="4">
        <v>197</v>
      </c>
      <c r="D942" s="8">
        <v>3.72</v>
      </c>
      <c r="E942" s="4">
        <v>150</v>
      </c>
      <c r="F942" s="8">
        <v>5.69</v>
      </c>
      <c r="G942" s="4">
        <v>47</v>
      </c>
      <c r="H942" s="8">
        <v>1.78</v>
      </c>
      <c r="I942" s="4">
        <v>0</v>
      </c>
    </row>
    <row r="943" spans="1:9" x14ac:dyDescent="0.2">
      <c r="A943" s="2">
        <v>8</v>
      </c>
      <c r="B943" s="1" t="s">
        <v>111</v>
      </c>
      <c r="C943" s="4">
        <v>197</v>
      </c>
      <c r="D943" s="8">
        <v>3.72</v>
      </c>
      <c r="E943" s="4">
        <v>114</v>
      </c>
      <c r="F943" s="8">
        <v>4.32</v>
      </c>
      <c r="G943" s="4">
        <v>83</v>
      </c>
      <c r="H943" s="8">
        <v>3.15</v>
      </c>
      <c r="I943" s="4">
        <v>0</v>
      </c>
    </row>
    <row r="944" spans="1:9" x14ac:dyDescent="0.2">
      <c r="A944" s="2">
        <v>10</v>
      </c>
      <c r="B944" s="1" t="s">
        <v>100</v>
      </c>
      <c r="C944" s="4">
        <v>195</v>
      </c>
      <c r="D944" s="8">
        <v>3.68</v>
      </c>
      <c r="E944" s="4">
        <v>32</v>
      </c>
      <c r="F944" s="8">
        <v>1.21</v>
      </c>
      <c r="G944" s="4">
        <v>163</v>
      </c>
      <c r="H944" s="8">
        <v>6.18</v>
      </c>
      <c r="I944" s="4">
        <v>0</v>
      </c>
    </row>
    <row r="945" spans="1:9" x14ac:dyDescent="0.2">
      <c r="A945" s="2">
        <v>11</v>
      </c>
      <c r="B945" s="1" t="s">
        <v>99</v>
      </c>
      <c r="C945" s="4">
        <v>193</v>
      </c>
      <c r="D945" s="8">
        <v>3.64</v>
      </c>
      <c r="E945" s="4">
        <v>47</v>
      </c>
      <c r="F945" s="8">
        <v>1.78</v>
      </c>
      <c r="G945" s="4">
        <v>146</v>
      </c>
      <c r="H945" s="8">
        <v>5.54</v>
      </c>
      <c r="I945" s="4">
        <v>0</v>
      </c>
    </row>
    <row r="946" spans="1:9" x14ac:dyDescent="0.2">
      <c r="A946" s="2">
        <v>12</v>
      </c>
      <c r="B946" s="1" t="s">
        <v>107</v>
      </c>
      <c r="C946" s="4">
        <v>172</v>
      </c>
      <c r="D946" s="8">
        <v>3.25</v>
      </c>
      <c r="E946" s="4">
        <v>116</v>
      </c>
      <c r="F946" s="8">
        <v>4.4000000000000004</v>
      </c>
      <c r="G946" s="4">
        <v>56</v>
      </c>
      <c r="H946" s="8">
        <v>2.12</v>
      </c>
      <c r="I946" s="4">
        <v>0</v>
      </c>
    </row>
    <row r="947" spans="1:9" x14ac:dyDescent="0.2">
      <c r="A947" s="2">
        <v>13</v>
      </c>
      <c r="B947" s="1" t="s">
        <v>105</v>
      </c>
      <c r="C947" s="4">
        <v>132</v>
      </c>
      <c r="D947" s="8">
        <v>2.4900000000000002</v>
      </c>
      <c r="E947" s="4">
        <v>72</v>
      </c>
      <c r="F947" s="8">
        <v>2.73</v>
      </c>
      <c r="G947" s="4">
        <v>59</v>
      </c>
      <c r="H947" s="8">
        <v>2.2400000000000002</v>
      </c>
      <c r="I947" s="4">
        <v>1</v>
      </c>
    </row>
    <row r="948" spans="1:9" x14ac:dyDescent="0.2">
      <c r="A948" s="2">
        <v>14</v>
      </c>
      <c r="B948" s="1" t="s">
        <v>109</v>
      </c>
      <c r="C948" s="4">
        <v>124</v>
      </c>
      <c r="D948" s="8">
        <v>2.34</v>
      </c>
      <c r="E948" s="4">
        <v>29</v>
      </c>
      <c r="F948" s="8">
        <v>1.1000000000000001</v>
      </c>
      <c r="G948" s="4">
        <v>94</v>
      </c>
      <c r="H948" s="8">
        <v>3.56</v>
      </c>
      <c r="I948" s="4">
        <v>1</v>
      </c>
    </row>
    <row r="949" spans="1:9" x14ac:dyDescent="0.2">
      <c r="A949" s="2">
        <v>15</v>
      </c>
      <c r="B949" s="1" t="s">
        <v>112</v>
      </c>
      <c r="C949" s="4">
        <v>120</v>
      </c>
      <c r="D949" s="8">
        <v>2.2599999999999998</v>
      </c>
      <c r="E949" s="4">
        <v>40</v>
      </c>
      <c r="F949" s="8">
        <v>1.52</v>
      </c>
      <c r="G949" s="4">
        <v>77</v>
      </c>
      <c r="H949" s="8">
        <v>2.92</v>
      </c>
      <c r="I949" s="4">
        <v>1</v>
      </c>
    </row>
    <row r="950" spans="1:9" x14ac:dyDescent="0.2">
      <c r="A950" s="2">
        <v>16</v>
      </c>
      <c r="B950" s="1" t="s">
        <v>117</v>
      </c>
      <c r="C950" s="4">
        <v>112</v>
      </c>
      <c r="D950" s="8">
        <v>2.11</v>
      </c>
      <c r="E950" s="4">
        <v>2</v>
      </c>
      <c r="F950" s="8">
        <v>0.08</v>
      </c>
      <c r="G950" s="4">
        <v>101</v>
      </c>
      <c r="H950" s="8">
        <v>3.83</v>
      </c>
      <c r="I950" s="4">
        <v>1</v>
      </c>
    </row>
    <row r="951" spans="1:9" x14ac:dyDescent="0.2">
      <c r="A951" s="2">
        <v>17</v>
      </c>
      <c r="B951" s="1" t="s">
        <v>130</v>
      </c>
      <c r="C951" s="4">
        <v>73</v>
      </c>
      <c r="D951" s="8">
        <v>1.38</v>
      </c>
      <c r="E951" s="4">
        <v>38</v>
      </c>
      <c r="F951" s="8">
        <v>1.44</v>
      </c>
      <c r="G951" s="4">
        <v>35</v>
      </c>
      <c r="H951" s="8">
        <v>1.33</v>
      </c>
      <c r="I951" s="4">
        <v>0</v>
      </c>
    </row>
    <row r="952" spans="1:9" x14ac:dyDescent="0.2">
      <c r="A952" s="2">
        <v>18</v>
      </c>
      <c r="B952" s="1" t="s">
        <v>103</v>
      </c>
      <c r="C952" s="4">
        <v>72</v>
      </c>
      <c r="D952" s="8">
        <v>1.36</v>
      </c>
      <c r="E952" s="4">
        <v>5</v>
      </c>
      <c r="F952" s="8">
        <v>0.19</v>
      </c>
      <c r="G952" s="4">
        <v>67</v>
      </c>
      <c r="H952" s="8">
        <v>2.54</v>
      </c>
      <c r="I952" s="4">
        <v>0</v>
      </c>
    </row>
    <row r="953" spans="1:9" x14ac:dyDescent="0.2">
      <c r="A953" s="2">
        <v>19</v>
      </c>
      <c r="B953" s="1" t="s">
        <v>102</v>
      </c>
      <c r="C953" s="4">
        <v>64</v>
      </c>
      <c r="D953" s="8">
        <v>1.21</v>
      </c>
      <c r="E953" s="4">
        <v>10</v>
      </c>
      <c r="F953" s="8">
        <v>0.38</v>
      </c>
      <c r="G953" s="4">
        <v>54</v>
      </c>
      <c r="H953" s="8">
        <v>2.0499999999999998</v>
      </c>
      <c r="I953" s="4">
        <v>0</v>
      </c>
    </row>
    <row r="954" spans="1:9" x14ac:dyDescent="0.2">
      <c r="A954" s="2">
        <v>20</v>
      </c>
      <c r="B954" s="1" t="s">
        <v>104</v>
      </c>
      <c r="C954" s="4">
        <v>63</v>
      </c>
      <c r="D954" s="8">
        <v>1.19</v>
      </c>
      <c r="E954" s="4">
        <v>15</v>
      </c>
      <c r="F954" s="8">
        <v>0.56999999999999995</v>
      </c>
      <c r="G954" s="4">
        <v>48</v>
      </c>
      <c r="H954" s="8">
        <v>1.82</v>
      </c>
      <c r="I954" s="4">
        <v>0</v>
      </c>
    </row>
    <row r="955" spans="1:9" x14ac:dyDescent="0.2">
      <c r="A955" s="2">
        <v>20</v>
      </c>
      <c r="B955" s="1" t="s">
        <v>119</v>
      </c>
      <c r="C955" s="4">
        <v>63</v>
      </c>
      <c r="D955" s="8">
        <v>1.19</v>
      </c>
      <c r="E955" s="4">
        <v>5</v>
      </c>
      <c r="F955" s="8">
        <v>0.19</v>
      </c>
      <c r="G955" s="4">
        <v>56</v>
      </c>
      <c r="H955" s="8">
        <v>2.12</v>
      </c>
      <c r="I955" s="4">
        <v>2</v>
      </c>
    </row>
    <row r="956" spans="1:9" x14ac:dyDescent="0.2">
      <c r="A956" s="1"/>
      <c r="C956" s="4"/>
      <c r="D956" s="8"/>
      <c r="E956" s="4"/>
      <c r="F956" s="8"/>
      <c r="G956" s="4"/>
      <c r="H956" s="8"/>
      <c r="I956" s="4"/>
    </row>
    <row r="957" spans="1:9" x14ac:dyDescent="0.2">
      <c r="A957" s="1" t="s">
        <v>43</v>
      </c>
      <c r="C957" s="4"/>
      <c r="D957" s="8"/>
      <c r="E957" s="4"/>
      <c r="F957" s="8"/>
      <c r="G957" s="4"/>
      <c r="H957" s="8"/>
      <c r="I957" s="4"/>
    </row>
    <row r="958" spans="1:9" x14ac:dyDescent="0.2">
      <c r="A958" s="2">
        <v>1</v>
      </c>
      <c r="B958" s="1" t="s">
        <v>110</v>
      </c>
      <c r="C958" s="4">
        <v>867</v>
      </c>
      <c r="D958" s="8">
        <v>17.809999999999999</v>
      </c>
      <c r="E958" s="4">
        <v>316</v>
      </c>
      <c r="F958" s="8">
        <v>14.29</v>
      </c>
      <c r="G958" s="4">
        <v>549</v>
      </c>
      <c r="H958" s="8">
        <v>20.96</v>
      </c>
      <c r="I958" s="4">
        <v>2</v>
      </c>
    </row>
    <row r="959" spans="1:9" x14ac:dyDescent="0.2">
      <c r="A959" s="2">
        <v>2</v>
      </c>
      <c r="B959" s="1" t="s">
        <v>113</v>
      </c>
      <c r="C959" s="4">
        <v>513</v>
      </c>
      <c r="D959" s="8">
        <v>10.54</v>
      </c>
      <c r="E959" s="4">
        <v>456</v>
      </c>
      <c r="F959" s="8">
        <v>20.62</v>
      </c>
      <c r="G959" s="4">
        <v>57</v>
      </c>
      <c r="H959" s="8">
        <v>2.1800000000000002</v>
      </c>
      <c r="I959" s="4">
        <v>0</v>
      </c>
    </row>
    <row r="960" spans="1:9" x14ac:dyDescent="0.2">
      <c r="A960" s="2">
        <v>3</v>
      </c>
      <c r="B960" s="1" t="s">
        <v>114</v>
      </c>
      <c r="C960" s="4">
        <v>448</v>
      </c>
      <c r="D960" s="8">
        <v>9.1999999999999993</v>
      </c>
      <c r="E960" s="4">
        <v>378</v>
      </c>
      <c r="F960" s="8">
        <v>17.100000000000001</v>
      </c>
      <c r="G960" s="4">
        <v>70</v>
      </c>
      <c r="H960" s="8">
        <v>2.67</v>
      </c>
      <c r="I960" s="4">
        <v>0</v>
      </c>
    </row>
    <row r="961" spans="1:9" x14ac:dyDescent="0.2">
      <c r="A961" s="2">
        <v>4</v>
      </c>
      <c r="B961" s="1" t="s">
        <v>98</v>
      </c>
      <c r="C961" s="4">
        <v>247</v>
      </c>
      <c r="D961" s="8">
        <v>5.07</v>
      </c>
      <c r="E961" s="4">
        <v>30</v>
      </c>
      <c r="F961" s="8">
        <v>1.36</v>
      </c>
      <c r="G961" s="4">
        <v>217</v>
      </c>
      <c r="H961" s="8">
        <v>8.2899999999999991</v>
      </c>
      <c r="I961" s="4">
        <v>0</v>
      </c>
    </row>
    <row r="962" spans="1:9" x14ac:dyDescent="0.2">
      <c r="A962" s="2">
        <v>5</v>
      </c>
      <c r="B962" s="1" t="s">
        <v>115</v>
      </c>
      <c r="C962" s="4">
        <v>222</v>
      </c>
      <c r="D962" s="8">
        <v>4.5599999999999996</v>
      </c>
      <c r="E962" s="4">
        <v>152</v>
      </c>
      <c r="F962" s="8">
        <v>6.87</v>
      </c>
      <c r="G962" s="4">
        <v>61</v>
      </c>
      <c r="H962" s="8">
        <v>2.33</v>
      </c>
      <c r="I962" s="4">
        <v>0</v>
      </c>
    </row>
    <row r="963" spans="1:9" x14ac:dyDescent="0.2">
      <c r="A963" s="2">
        <v>6</v>
      </c>
      <c r="B963" s="1" t="s">
        <v>108</v>
      </c>
      <c r="C963" s="4">
        <v>217</v>
      </c>
      <c r="D963" s="8">
        <v>4.46</v>
      </c>
      <c r="E963" s="4">
        <v>115</v>
      </c>
      <c r="F963" s="8">
        <v>5.2</v>
      </c>
      <c r="G963" s="4">
        <v>102</v>
      </c>
      <c r="H963" s="8">
        <v>3.89</v>
      </c>
      <c r="I963" s="4">
        <v>0</v>
      </c>
    </row>
    <row r="964" spans="1:9" x14ac:dyDescent="0.2">
      <c r="A964" s="2">
        <v>7</v>
      </c>
      <c r="B964" s="1" t="s">
        <v>116</v>
      </c>
      <c r="C964" s="4">
        <v>210</v>
      </c>
      <c r="D964" s="8">
        <v>4.3099999999999996</v>
      </c>
      <c r="E964" s="4">
        <v>185</v>
      </c>
      <c r="F964" s="8">
        <v>8.3699999999999992</v>
      </c>
      <c r="G964" s="4">
        <v>25</v>
      </c>
      <c r="H964" s="8">
        <v>0.95</v>
      </c>
      <c r="I964" s="4">
        <v>0</v>
      </c>
    </row>
    <row r="965" spans="1:9" x14ac:dyDescent="0.2">
      <c r="A965" s="2">
        <v>8</v>
      </c>
      <c r="B965" s="1" t="s">
        <v>106</v>
      </c>
      <c r="C965" s="4">
        <v>161</v>
      </c>
      <c r="D965" s="8">
        <v>3.31</v>
      </c>
      <c r="E965" s="4">
        <v>97</v>
      </c>
      <c r="F965" s="8">
        <v>4.3899999999999997</v>
      </c>
      <c r="G965" s="4">
        <v>64</v>
      </c>
      <c r="H965" s="8">
        <v>2.44</v>
      </c>
      <c r="I965" s="4">
        <v>0</v>
      </c>
    </row>
    <row r="966" spans="1:9" x14ac:dyDescent="0.2">
      <c r="A966" s="2">
        <v>9</v>
      </c>
      <c r="B966" s="1" t="s">
        <v>99</v>
      </c>
      <c r="C966" s="4">
        <v>160</v>
      </c>
      <c r="D966" s="8">
        <v>3.29</v>
      </c>
      <c r="E966" s="4">
        <v>34</v>
      </c>
      <c r="F966" s="8">
        <v>1.54</v>
      </c>
      <c r="G966" s="4">
        <v>126</v>
      </c>
      <c r="H966" s="8">
        <v>4.8099999999999996</v>
      </c>
      <c r="I966" s="4">
        <v>0</v>
      </c>
    </row>
    <row r="967" spans="1:9" x14ac:dyDescent="0.2">
      <c r="A967" s="2">
        <v>10</v>
      </c>
      <c r="B967" s="1" t="s">
        <v>107</v>
      </c>
      <c r="C967" s="4">
        <v>139</v>
      </c>
      <c r="D967" s="8">
        <v>2.86</v>
      </c>
      <c r="E967" s="4">
        <v>82</v>
      </c>
      <c r="F967" s="8">
        <v>3.71</v>
      </c>
      <c r="G967" s="4">
        <v>57</v>
      </c>
      <c r="H967" s="8">
        <v>2.1800000000000002</v>
      </c>
      <c r="I967" s="4">
        <v>0</v>
      </c>
    </row>
    <row r="968" spans="1:9" x14ac:dyDescent="0.2">
      <c r="A968" s="2">
        <v>11</v>
      </c>
      <c r="B968" s="1" t="s">
        <v>111</v>
      </c>
      <c r="C968" s="4">
        <v>134</v>
      </c>
      <c r="D968" s="8">
        <v>2.75</v>
      </c>
      <c r="E968" s="4">
        <v>78</v>
      </c>
      <c r="F968" s="8">
        <v>3.53</v>
      </c>
      <c r="G968" s="4">
        <v>56</v>
      </c>
      <c r="H968" s="8">
        <v>2.14</v>
      </c>
      <c r="I968" s="4">
        <v>0</v>
      </c>
    </row>
    <row r="969" spans="1:9" x14ac:dyDescent="0.2">
      <c r="A969" s="2">
        <v>12</v>
      </c>
      <c r="B969" s="1" t="s">
        <v>100</v>
      </c>
      <c r="C969" s="4">
        <v>132</v>
      </c>
      <c r="D969" s="8">
        <v>2.71</v>
      </c>
      <c r="E969" s="4">
        <v>17</v>
      </c>
      <c r="F969" s="8">
        <v>0.77</v>
      </c>
      <c r="G969" s="4">
        <v>115</v>
      </c>
      <c r="H969" s="8">
        <v>4.3899999999999997</v>
      </c>
      <c r="I969" s="4">
        <v>0</v>
      </c>
    </row>
    <row r="970" spans="1:9" x14ac:dyDescent="0.2">
      <c r="A970" s="2">
        <v>13</v>
      </c>
      <c r="B970" s="1" t="s">
        <v>109</v>
      </c>
      <c r="C970" s="4">
        <v>102</v>
      </c>
      <c r="D970" s="8">
        <v>2.1</v>
      </c>
      <c r="E970" s="4">
        <v>15</v>
      </c>
      <c r="F970" s="8">
        <v>0.68</v>
      </c>
      <c r="G970" s="4">
        <v>87</v>
      </c>
      <c r="H970" s="8">
        <v>3.32</v>
      </c>
      <c r="I970" s="4">
        <v>0</v>
      </c>
    </row>
    <row r="971" spans="1:9" x14ac:dyDescent="0.2">
      <c r="A971" s="2">
        <v>14</v>
      </c>
      <c r="B971" s="1" t="s">
        <v>105</v>
      </c>
      <c r="C971" s="4">
        <v>89</v>
      </c>
      <c r="D971" s="8">
        <v>1.83</v>
      </c>
      <c r="E971" s="4">
        <v>44</v>
      </c>
      <c r="F971" s="8">
        <v>1.99</v>
      </c>
      <c r="G971" s="4">
        <v>45</v>
      </c>
      <c r="H971" s="8">
        <v>1.72</v>
      </c>
      <c r="I971" s="4">
        <v>0</v>
      </c>
    </row>
    <row r="972" spans="1:9" x14ac:dyDescent="0.2">
      <c r="A972" s="2">
        <v>15</v>
      </c>
      <c r="B972" s="1" t="s">
        <v>117</v>
      </c>
      <c r="C972" s="4">
        <v>83</v>
      </c>
      <c r="D972" s="8">
        <v>1.71</v>
      </c>
      <c r="E972" s="4">
        <v>3</v>
      </c>
      <c r="F972" s="8">
        <v>0.14000000000000001</v>
      </c>
      <c r="G972" s="4">
        <v>73</v>
      </c>
      <c r="H972" s="8">
        <v>2.79</v>
      </c>
      <c r="I972" s="4">
        <v>2</v>
      </c>
    </row>
    <row r="973" spans="1:9" x14ac:dyDescent="0.2">
      <c r="A973" s="2">
        <v>16</v>
      </c>
      <c r="B973" s="1" t="s">
        <v>112</v>
      </c>
      <c r="C973" s="4">
        <v>81</v>
      </c>
      <c r="D973" s="8">
        <v>1.66</v>
      </c>
      <c r="E973" s="4">
        <v>30</v>
      </c>
      <c r="F973" s="8">
        <v>1.36</v>
      </c>
      <c r="G973" s="4">
        <v>51</v>
      </c>
      <c r="H973" s="8">
        <v>1.95</v>
      </c>
      <c r="I973" s="4">
        <v>0</v>
      </c>
    </row>
    <row r="974" spans="1:9" x14ac:dyDescent="0.2">
      <c r="A974" s="2">
        <v>17</v>
      </c>
      <c r="B974" s="1" t="s">
        <v>103</v>
      </c>
      <c r="C974" s="4">
        <v>79</v>
      </c>
      <c r="D974" s="8">
        <v>1.62</v>
      </c>
      <c r="E974" s="4">
        <v>7</v>
      </c>
      <c r="F974" s="8">
        <v>0.32</v>
      </c>
      <c r="G974" s="4">
        <v>72</v>
      </c>
      <c r="H974" s="8">
        <v>2.75</v>
      </c>
      <c r="I974" s="4">
        <v>0</v>
      </c>
    </row>
    <row r="975" spans="1:9" x14ac:dyDescent="0.2">
      <c r="A975" s="2">
        <v>18</v>
      </c>
      <c r="B975" s="1" t="s">
        <v>104</v>
      </c>
      <c r="C975" s="4">
        <v>76</v>
      </c>
      <c r="D975" s="8">
        <v>1.56</v>
      </c>
      <c r="E975" s="4">
        <v>9</v>
      </c>
      <c r="F975" s="8">
        <v>0.41</v>
      </c>
      <c r="G975" s="4">
        <v>67</v>
      </c>
      <c r="H975" s="8">
        <v>2.56</v>
      </c>
      <c r="I975" s="4">
        <v>0</v>
      </c>
    </row>
    <row r="976" spans="1:9" x14ac:dyDescent="0.2">
      <c r="A976" s="2">
        <v>19</v>
      </c>
      <c r="B976" s="1" t="s">
        <v>122</v>
      </c>
      <c r="C976" s="4">
        <v>67</v>
      </c>
      <c r="D976" s="8">
        <v>1.38</v>
      </c>
      <c r="E976" s="4">
        <v>6</v>
      </c>
      <c r="F976" s="8">
        <v>0.27</v>
      </c>
      <c r="G976" s="4">
        <v>61</v>
      </c>
      <c r="H976" s="8">
        <v>2.33</v>
      </c>
      <c r="I976" s="4">
        <v>0</v>
      </c>
    </row>
    <row r="977" spans="1:9" x14ac:dyDescent="0.2">
      <c r="A977" s="2">
        <v>19</v>
      </c>
      <c r="B977" s="1" t="s">
        <v>119</v>
      </c>
      <c r="C977" s="4">
        <v>67</v>
      </c>
      <c r="D977" s="8">
        <v>1.38</v>
      </c>
      <c r="E977" s="4">
        <v>5</v>
      </c>
      <c r="F977" s="8">
        <v>0.23</v>
      </c>
      <c r="G977" s="4">
        <v>62</v>
      </c>
      <c r="H977" s="8">
        <v>2.37</v>
      </c>
      <c r="I977" s="4">
        <v>0</v>
      </c>
    </row>
    <row r="978" spans="1:9" x14ac:dyDescent="0.2">
      <c r="A978" s="1"/>
      <c r="C978" s="4"/>
      <c r="D978" s="8"/>
      <c r="E978" s="4"/>
      <c r="F978" s="8"/>
      <c r="G978" s="4"/>
      <c r="H978" s="8"/>
      <c r="I978" s="4"/>
    </row>
    <row r="979" spans="1:9" x14ac:dyDescent="0.2">
      <c r="A979" s="1" t="s">
        <v>44</v>
      </c>
      <c r="C979" s="4"/>
      <c r="D979" s="8"/>
      <c r="E979" s="4"/>
      <c r="F979" s="8"/>
      <c r="G979" s="4"/>
      <c r="H979" s="8"/>
      <c r="I979" s="4"/>
    </row>
    <row r="980" spans="1:9" x14ac:dyDescent="0.2">
      <c r="A980" s="2">
        <v>1</v>
      </c>
      <c r="B980" s="1" t="s">
        <v>110</v>
      </c>
      <c r="C980" s="4">
        <v>628</v>
      </c>
      <c r="D980" s="8">
        <v>9.41</v>
      </c>
      <c r="E980" s="4">
        <v>139</v>
      </c>
      <c r="F980" s="8">
        <v>4.12</v>
      </c>
      <c r="G980" s="4">
        <v>487</v>
      </c>
      <c r="H980" s="8">
        <v>14.82</v>
      </c>
      <c r="I980" s="4">
        <v>0</v>
      </c>
    </row>
    <row r="981" spans="1:9" x14ac:dyDescent="0.2">
      <c r="A981" s="2">
        <v>2</v>
      </c>
      <c r="B981" s="1" t="s">
        <v>113</v>
      </c>
      <c r="C981" s="4">
        <v>590</v>
      </c>
      <c r="D981" s="8">
        <v>8.84</v>
      </c>
      <c r="E981" s="4">
        <v>554</v>
      </c>
      <c r="F981" s="8">
        <v>16.420000000000002</v>
      </c>
      <c r="G981" s="4">
        <v>36</v>
      </c>
      <c r="H981" s="8">
        <v>1.1000000000000001</v>
      </c>
      <c r="I981" s="4">
        <v>0</v>
      </c>
    </row>
    <row r="982" spans="1:9" x14ac:dyDescent="0.2">
      <c r="A982" s="2">
        <v>3</v>
      </c>
      <c r="B982" s="1" t="s">
        <v>101</v>
      </c>
      <c r="C982" s="4">
        <v>575</v>
      </c>
      <c r="D982" s="8">
        <v>8.6199999999999992</v>
      </c>
      <c r="E982" s="4">
        <v>263</v>
      </c>
      <c r="F982" s="8">
        <v>7.8</v>
      </c>
      <c r="G982" s="4">
        <v>312</v>
      </c>
      <c r="H982" s="8">
        <v>9.49</v>
      </c>
      <c r="I982" s="4">
        <v>0</v>
      </c>
    </row>
    <row r="983" spans="1:9" x14ac:dyDescent="0.2">
      <c r="A983" s="2">
        <v>4</v>
      </c>
      <c r="B983" s="1" t="s">
        <v>114</v>
      </c>
      <c r="C983" s="4">
        <v>472</v>
      </c>
      <c r="D983" s="8">
        <v>7.08</v>
      </c>
      <c r="E983" s="4">
        <v>395</v>
      </c>
      <c r="F983" s="8">
        <v>11.71</v>
      </c>
      <c r="G983" s="4">
        <v>77</v>
      </c>
      <c r="H983" s="8">
        <v>2.34</v>
      </c>
      <c r="I983" s="4">
        <v>0</v>
      </c>
    </row>
    <row r="984" spans="1:9" x14ac:dyDescent="0.2">
      <c r="A984" s="2">
        <v>5</v>
      </c>
      <c r="B984" s="1" t="s">
        <v>108</v>
      </c>
      <c r="C984" s="4">
        <v>303</v>
      </c>
      <c r="D984" s="8">
        <v>4.54</v>
      </c>
      <c r="E984" s="4">
        <v>196</v>
      </c>
      <c r="F984" s="8">
        <v>5.81</v>
      </c>
      <c r="G984" s="4">
        <v>105</v>
      </c>
      <c r="H984" s="8">
        <v>3.19</v>
      </c>
      <c r="I984" s="4">
        <v>2</v>
      </c>
    </row>
    <row r="985" spans="1:9" x14ac:dyDescent="0.2">
      <c r="A985" s="2">
        <v>6</v>
      </c>
      <c r="B985" s="1" t="s">
        <v>98</v>
      </c>
      <c r="C985" s="4">
        <v>289</v>
      </c>
      <c r="D985" s="8">
        <v>4.33</v>
      </c>
      <c r="E985" s="4">
        <v>85</v>
      </c>
      <c r="F985" s="8">
        <v>2.52</v>
      </c>
      <c r="G985" s="4">
        <v>204</v>
      </c>
      <c r="H985" s="8">
        <v>6.21</v>
      </c>
      <c r="I985" s="4">
        <v>0</v>
      </c>
    </row>
    <row r="986" spans="1:9" x14ac:dyDescent="0.2">
      <c r="A986" s="2">
        <v>7</v>
      </c>
      <c r="B986" s="1" t="s">
        <v>127</v>
      </c>
      <c r="C986" s="4">
        <v>242</v>
      </c>
      <c r="D986" s="8">
        <v>3.63</v>
      </c>
      <c r="E986" s="4">
        <v>76</v>
      </c>
      <c r="F986" s="8">
        <v>2.25</v>
      </c>
      <c r="G986" s="4">
        <v>166</v>
      </c>
      <c r="H986" s="8">
        <v>5.05</v>
      </c>
      <c r="I986" s="4">
        <v>0</v>
      </c>
    </row>
    <row r="987" spans="1:9" x14ac:dyDescent="0.2">
      <c r="A987" s="2">
        <v>8</v>
      </c>
      <c r="B987" s="1" t="s">
        <v>116</v>
      </c>
      <c r="C987" s="4">
        <v>241</v>
      </c>
      <c r="D987" s="8">
        <v>3.61</v>
      </c>
      <c r="E987" s="4">
        <v>205</v>
      </c>
      <c r="F987" s="8">
        <v>6.08</v>
      </c>
      <c r="G987" s="4">
        <v>36</v>
      </c>
      <c r="H987" s="8">
        <v>1.1000000000000001</v>
      </c>
      <c r="I987" s="4">
        <v>0</v>
      </c>
    </row>
    <row r="988" spans="1:9" x14ac:dyDescent="0.2">
      <c r="A988" s="2">
        <v>9</v>
      </c>
      <c r="B988" s="1" t="s">
        <v>106</v>
      </c>
      <c r="C988" s="4">
        <v>223</v>
      </c>
      <c r="D988" s="8">
        <v>3.34</v>
      </c>
      <c r="E988" s="4">
        <v>172</v>
      </c>
      <c r="F988" s="8">
        <v>5.0999999999999996</v>
      </c>
      <c r="G988" s="4">
        <v>49</v>
      </c>
      <c r="H988" s="8">
        <v>1.49</v>
      </c>
      <c r="I988" s="4">
        <v>2</v>
      </c>
    </row>
    <row r="989" spans="1:9" x14ac:dyDescent="0.2">
      <c r="A989" s="2">
        <v>10</v>
      </c>
      <c r="B989" s="1" t="s">
        <v>132</v>
      </c>
      <c r="C989" s="4">
        <v>199</v>
      </c>
      <c r="D989" s="8">
        <v>2.98</v>
      </c>
      <c r="E989" s="4">
        <v>85</v>
      </c>
      <c r="F989" s="8">
        <v>2.52</v>
      </c>
      <c r="G989" s="4">
        <v>114</v>
      </c>
      <c r="H989" s="8">
        <v>3.47</v>
      </c>
      <c r="I989" s="4">
        <v>0</v>
      </c>
    </row>
    <row r="990" spans="1:9" x14ac:dyDescent="0.2">
      <c r="A990" s="2">
        <v>11</v>
      </c>
      <c r="B990" s="1" t="s">
        <v>115</v>
      </c>
      <c r="C990" s="4">
        <v>191</v>
      </c>
      <c r="D990" s="8">
        <v>2.86</v>
      </c>
      <c r="E990" s="4">
        <v>158</v>
      </c>
      <c r="F990" s="8">
        <v>4.68</v>
      </c>
      <c r="G990" s="4">
        <v>32</v>
      </c>
      <c r="H990" s="8">
        <v>0.97</v>
      </c>
      <c r="I990" s="4">
        <v>0</v>
      </c>
    </row>
    <row r="991" spans="1:9" x14ac:dyDescent="0.2">
      <c r="A991" s="2">
        <v>12</v>
      </c>
      <c r="B991" s="1" t="s">
        <v>99</v>
      </c>
      <c r="C991" s="4">
        <v>181</v>
      </c>
      <c r="D991" s="8">
        <v>2.71</v>
      </c>
      <c r="E991" s="4">
        <v>55</v>
      </c>
      <c r="F991" s="8">
        <v>1.63</v>
      </c>
      <c r="G991" s="4">
        <v>126</v>
      </c>
      <c r="H991" s="8">
        <v>3.83</v>
      </c>
      <c r="I991" s="4">
        <v>0</v>
      </c>
    </row>
    <row r="992" spans="1:9" x14ac:dyDescent="0.2">
      <c r="A992" s="2">
        <v>13</v>
      </c>
      <c r="B992" s="1" t="s">
        <v>100</v>
      </c>
      <c r="C992" s="4">
        <v>169</v>
      </c>
      <c r="D992" s="8">
        <v>2.5299999999999998</v>
      </c>
      <c r="E992" s="4">
        <v>43</v>
      </c>
      <c r="F992" s="8">
        <v>1.27</v>
      </c>
      <c r="G992" s="4">
        <v>126</v>
      </c>
      <c r="H992" s="8">
        <v>3.83</v>
      </c>
      <c r="I992" s="4">
        <v>0</v>
      </c>
    </row>
    <row r="993" spans="1:9" x14ac:dyDescent="0.2">
      <c r="A993" s="2">
        <v>14</v>
      </c>
      <c r="B993" s="1" t="s">
        <v>142</v>
      </c>
      <c r="C993" s="4">
        <v>131</v>
      </c>
      <c r="D993" s="8">
        <v>1.96</v>
      </c>
      <c r="E993" s="4">
        <v>78</v>
      </c>
      <c r="F993" s="8">
        <v>2.31</v>
      </c>
      <c r="G993" s="4">
        <v>53</v>
      </c>
      <c r="H993" s="8">
        <v>1.61</v>
      </c>
      <c r="I993" s="4">
        <v>0</v>
      </c>
    </row>
    <row r="994" spans="1:9" x14ac:dyDescent="0.2">
      <c r="A994" s="2">
        <v>15</v>
      </c>
      <c r="B994" s="1" t="s">
        <v>107</v>
      </c>
      <c r="C994" s="4">
        <v>129</v>
      </c>
      <c r="D994" s="8">
        <v>1.93</v>
      </c>
      <c r="E994" s="4">
        <v>83</v>
      </c>
      <c r="F994" s="8">
        <v>2.46</v>
      </c>
      <c r="G994" s="4">
        <v>46</v>
      </c>
      <c r="H994" s="8">
        <v>1.4</v>
      </c>
      <c r="I994" s="4">
        <v>0</v>
      </c>
    </row>
    <row r="995" spans="1:9" x14ac:dyDescent="0.2">
      <c r="A995" s="2">
        <v>16</v>
      </c>
      <c r="B995" s="1" t="s">
        <v>102</v>
      </c>
      <c r="C995" s="4">
        <v>119</v>
      </c>
      <c r="D995" s="8">
        <v>1.78</v>
      </c>
      <c r="E995" s="4">
        <v>23</v>
      </c>
      <c r="F995" s="8">
        <v>0.68</v>
      </c>
      <c r="G995" s="4">
        <v>96</v>
      </c>
      <c r="H995" s="8">
        <v>2.92</v>
      </c>
      <c r="I995" s="4">
        <v>0</v>
      </c>
    </row>
    <row r="996" spans="1:9" x14ac:dyDescent="0.2">
      <c r="A996" s="2">
        <v>17</v>
      </c>
      <c r="B996" s="1" t="s">
        <v>126</v>
      </c>
      <c r="C996" s="4">
        <v>118</v>
      </c>
      <c r="D996" s="8">
        <v>1.77</v>
      </c>
      <c r="E996" s="4">
        <v>60</v>
      </c>
      <c r="F996" s="8">
        <v>1.78</v>
      </c>
      <c r="G996" s="4">
        <v>58</v>
      </c>
      <c r="H996" s="8">
        <v>1.76</v>
      </c>
      <c r="I996" s="4">
        <v>0</v>
      </c>
    </row>
    <row r="997" spans="1:9" x14ac:dyDescent="0.2">
      <c r="A997" s="2">
        <v>18</v>
      </c>
      <c r="B997" s="1" t="s">
        <v>105</v>
      </c>
      <c r="C997" s="4">
        <v>107</v>
      </c>
      <c r="D997" s="8">
        <v>1.6</v>
      </c>
      <c r="E997" s="4">
        <v>62</v>
      </c>
      <c r="F997" s="8">
        <v>1.84</v>
      </c>
      <c r="G997" s="4">
        <v>45</v>
      </c>
      <c r="H997" s="8">
        <v>1.37</v>
      </c>
      <c r="I997" s="4">
        <v>0</v>
      </c>
    </row>
    <row r="998" spans="1:9" x14ac:dyDescent="0.2">
      <c r="A998" s="2">
        <v>19</v>
      </c>
      <c r="B998" s="1" t="s">
        <v>111</v>
      </c>
      <c r="C998" s="4">
        <v>105</v>
      </c>
      <c r="D998" s="8">
        <v>1.57</v>
      </c>
      <c r="E998" s="4">
        <v>78</v>
      </c>
      <c r="F998" s="8">
        <v>2.31</v>
      </c>
      <c r="G998" s="4">
        <v>27</v>
      </c>
      <c r="H998" s="8">
        <v>0.82</v>
      </c>
      <c r="I998" s="4">
        <v>0</v>
      </c>
    </row>
    <row r="999" spans="1:9" x14ac:dyDescent="0.2">
      <c r="A999" s="2">
        <v>20</v>
      </c>
      <c r="B999" s="1" t="s">
        <v>134</v>
      </c>
      <c r="C999" s="4">
        <v>102</v>
      </c>
      <c r="D999" s="8">
        <v>1.53</v>
      </c>
      <c r="E999" s="4">
        <v>47</v>
      </c>
      <c r="F999" s="8">
        <v>1.39</v>
      </c>
      <c r="G999" s="4">
        <v>55</v>
      </c>
      <c r="H999" s="8">
        <v>1.67</v>
      </c>
      <c r="I999" s="4">
        <v>0</v>
      </c>
    </row>
    <row r="1000" spans="1:9" x14ac:dyDescent="0.2">
      <c r="A1000" s="1"/>
      <c r="C1000" s="4"/>
      <c r="D1000" s="8"/>
      <c r="E1000" s="4"/>
      <c r="F1000" s="8"/>
      <c r="G1000" s="4"/>
      <c r="H1000" s="8"/>
      <c r="I1000" s="4"/>
    </row>
    <row r="1001" spans="1:9" x14ac:dyDescent="0.2">
      <c r="A1001" s="1" t="s">
        <v>45</v>
      </c>
      <c r="C1001" s="4"/>
      <c r="D1001" s="8"/>
      <c r="E1001" s="4"/>
      <c r="F1001" s="8"/>
      <c r="G1001" s="4"/>
      <c r="H1001" s="8"/>
      <c r="I1001" s="4"/>
    </row>
    <row r="1002" spans="1:9" x14ac:dyDescent="0.2">
      <c r="A1002" s="2">
        <v>1</v>
      </c>
      <c r="B1002" s="1" t="s">
        <v>113</v>
      </c>
      <c r="C1002" s="4">
        <v>265</v>
      </c>
      <c r="D1002" s="8">
        <v>10.24</v>
      </c>
      <c r="E1002" s="4">
        <v>235</v>
      </c>
      <c r="F1002" s="8">
        <v>17.79</v>
      </c>
      <c r="G1002" s="4">
        <v>30</v>
      </c>
      <c r="H1002" s="8">
        <v>2.39</v>
      </c>
      <c r="I1002" s="4">
        <v>0</v>
      </c>
    </row>
    <row r="1003" spans="1:9" x14ac:dyDescent="0.2">
      <c r="A1003" s="2">
        <v>2</v>
      </c>
      <c r="B1003" s="1" t="s">
        <v>114</v>
      </c>
      <c r="C1003" s="4">
        <v>211</v>
      </c>
      <c r="D1003" s="8">
        <v>8.15</v>
      </c>
      <c r="E1003" s="4">
        <v>178</v>
      </c>
      <c r="F1003" s="8">
        <v>13.47</v>
      </c>
      <c r="G1003" s="4">
        <v>33</v>
      </c>
      <c r="H1003" s="8">
        <v>2.63</v>
      </c>
      <c r="I1003" s="4">
        <v>0</v>
      </c>
    </row>
    <row r="1004" spans="1:9" x14ac:dyDescent="0.2">
      <c r="A1004" s="2">
        <v>3</v>
      </c>
      <c r="B1004" s="1" t="s">
        <v>110</v>
      </c>
      <c r="C1004" s="4">
        <v>168</v>
      </c>
      <c r="D1004" s="8">
        <v>6.49</v>
      </c>
      <c r="E1004" s="4">
        <v>41</v>
      </c>
      <c r="F1004" s="8">
        <v>3.1</v>
      </c>
      <c r="G1004" s="4">
        <v>126</v>
      </c>
      <c r="H1004" s="8">
        <v>10.02</v>
      </c>
      <c r="I1004" s="4">
        <v>1</v>
      </c>
    </row>
    <row r="1005" spans="1:9" x14ac:dyDescent="0.2">
      <c r="A1005" s="2">
        <v>4</v>
      </c>
      <c r="B1005" s="1" t="s">
        <v>120</v>
      </c>
      <c r="C1005" s="4">
        <v>166</v>
      </c>
      <c r="D1005" s="8">
        <v>6.41</v>
      </c>
      <c r="E1005" s="4">
        <v>95</v>
      </c>
      <c r="F1005" s="8">
        <v>7.19</v>
      </c>
      <c r="G1005" s="4">
        <v>71</v>
      </c>
      <c r="H1005" s="8">
        <v>5.65</v>
      </c>
      <c r="I1005" s="4">
        <v>0</v>
      </c>
    </row>
    <row r="1006" spans="1:9" x14ac:dyDescent="0.2">
      <c r="A1006" s="2">
        <v>5</v>
      </c>
      <c r="B1006" s="1" t="s">
        <v>108</v>
      </c>
      <c r="C1006" s="4">
        <v>164</v>
      </c>
      <c r="D1006" s="8">
        <v>6.34</v>
      </c>
      <c r="E1006" s="4">
        <v>93</v>
      </c>
      <c r="F1006" s="8">
        <v>7.04</v>
      </c>
      <c r="G1006" s="4">
        <v>71</v>
      </c>
      <c r="H1006" s="8">
        <v>5.65</v>
      </c>
      <c r="I1006" s="4">
        <v>0</v>
      </c>
    </row>
    <row r="1007" spans="1:9" x14ac:dyDescent="0.2">
      <c r="A1007" s="2">
        <v>6</v>
      </c>
      <c r="B1007" s="1" t="s">
        <v>98</v>
      </c>
      <c r="C1007" s="4">
        <v>117</v>
      </c>
      <c r="D1007" s="8">
        <v>4.5199999999999996</v>
      </c>
      <c r="E1007" s="4">
        <v>16</v>
      </c>
      <c r="F1007" s="8">
        <v>1.21</v>
      </c>
      <c r="G1007" s="4">
        <v>101</v>
      </c>
      <c r="H1007" s="8">
        <v>8.0399999999999991</v>
      </c>
      <c r="I1007" s="4">
        <v>0</v>
      </c>
    </row>
    <row r="1008" spans="1:9" x14ac:dyDescent="0.2">
      <c r="A1008" s="2">
        <v>7</v>
      </c>
      <c r="B1008" s="1" t="s">
        <v>106</v>
      </c>
      <c r="C1008" s="4">
        <v>111</v>
      </c>
      <c r="D1008" s="8">
        <v>4.29</v>
      </c>
      <c r="E1008" s="4">
        <v>88</v>
      </c>
      <c r="F1008" s="8">
        <v>6.66</v>
      </c>
      <c r="G1008" s="4">
        <v>23</v>
      </c>
      <c r="H1008" s="8">
        <v>1.83</v>
      </c>
      <c r="I1008" s="4">
        <v>0</v>
      </c>
    </row>
    <row r="1009" spans="1:9" x14ac:dyDescent="0.2">
      <c r="A1009" s="2">
        <v>8</v>
      </c>
      <c r="B1009" s="1" t="s">
        <v>105</v>
      </c>
      <c r="C1009" s="4">
        <v>106</v>
      </c>
      <c r="D1009" s="8">
        <v>4.0999999999999996</v>
      </c>
      <c r="E1009" s="4">
        <v>32</v>
      </c>
      <c r="F1009" s="8">
        <v>2.42</v>
      </c>
      <c r="G1009" s="4">
        <v>74</v>
      </c>
      <c r="H1009" s="8">
        <v>5.89</v>
      </c>
      <c r="I1009" s="4">
        <v>0</v>
      </c>
    </row>
    <row r="1010" spans="1:9" x14ac:dyDescent="0.2">
      <c r="A1010" s="2">
        <v>9</v>
      </c>
      <c r="B1010" s="1" t="s">
        <v>116</v>
      </c>
      <c r="C1010" s="4">
        <v>87</v>
      </c>
      <c r="D1010" s="8">
        <v>3.36</v>
      </c>
      <c r="E1010" s="4">
        <v>79</v>
      </c>
      <c r="F1010" s="8">
        <v>5.98</v>
      </c>
      <c r="G1010" s="4">
        <v>8</v>
      </c>
      <c r="H1010" s="8">
        <v>0.64</v>
      </c>
      <c r="I1010" s="4">
        <v>0</v>
      </c>
    </row>
    <row r="1011" spans="1:9" x14ac:dyDescent="0.2">
      <c r="A1011" s="2">
        <v>10</v>
      </c>
      <c r="B1011" s="1" t="s">
        <v>115</v>
      </c>
      <c r="C1011" s="4">
        <v>80</v>
      </c>
      <c r="D1011" s="8">
        <v>3.09</v>
      </c>
      <c r="E1011" s="4">
        <v>52</v>
      </c>
      <c r="F1011" s="8">
        <v>3.94</v>
      </c>
      <c r="G1011" s="4">
        <v>27</v>
      </c>
      <c r="H1011" s="8">
        <v>2.15</v>
      </c>
      <c r="I1011" s="4">
        <v>0</v>
      </c>
    </row>
    <row r="1012" spans="1:9" x14ac:dyDescent="0.2">
      <c r="A1012" s="2">
        <v>11</v>
      </c>
      <c r="B1012" s="1" t="s">
        <v>100</v>
      </c>
      <c r="C1012" s="4">
        <v>78</v>
      </c>
      <c r="D1012" s="8">
        <v>3.01</v>
      </c>
      <c r="E1012" s="4">
        <v>31</v>
      </c>
      <c r="F1012" s="8">
        <v>2.35</v>
      </c>
      <c r="G1012" s="4">
        <v>47</v>
      </c>
      <c r="H1012" s="8">
        <v>3.74</v>
      </c>
      <c r="I1012" s="4">
        <v>0</v>
      </c>
    </row>
    <row r="1013" spans="1:9" x14ac:dyDescent="0.2">
      <c r="A1013" s="2">
        <v>11</v>
      </c>
      <c r="B1013" s="1" t="s">
        <v>107</v>
      </c>
      <c r="C1013" s="4">
        <v>78</v>
      </c>
      <c r="D1013" s="8">
        <v>3.01</v>
      </c>
      <c r="E1013" s="4">
        <v>61</v>
      </c>
      <c r="F1013" s="8">
        <v>4.62</v>
      </c>
      <c r="G1013" s="4">
        <v>17</v>
      </c>
      <c r="H1013" s="8">
        <v>1.35</v>
      </c>
      <c r="I1013" s="4">
        <v>0</v>
      </c>
    </row>
    <row r="1014" spans="1:9" x14ac:dyDescent="0.2">
      <c r="A1014" s="2">
        <v>13</v>
      </c>
      <c r="B1014" s="1" t="s">
        <v>111</v>
      </c>
      <c r="C1014" s="4">
        <v>65</v>
      </c>
      <c r="D1014" s="8">
        <v>2.5099999999999998</v>
      </c>
      <c r="E1014" s="4">
        <v>50</v>
      </c>
      <c r="F1014" s="8">
        <v>3.79</v>
      </c>
      <c r="G1014" s="4">
        <v>15</v>
      </c>
      <c r="H1014" s="8">
        <v>1.19</v>
      </c>
      <c r="I1014" s="4">
        <v>0</v>
      </c>
    </row>
    <row r="1015" spans="1:9" x14ac:dyDescent="0.2">
      <c r="A1015" s="2">
        <v>14</v>
      </c>
      <c r="B1015" s="1" t="s">
        <v>99</v>
      </c>
      <c r="C1015" s="4">
        <v>62</v>
      </c>
      <c r="D1015" s="8">
        <v>2.4</v>
      </c>
      <c r="E1015" s="4">
        <v>28</v>
      </c>
      <c r="F1015" s="8">
        <v>2.12</v>
      </c>
      <c r="G1015" s="4">
        <v>34</v>
      </c>
      <c r="H1015" s="8">
        <v>2.7</v>
      </c>
      <c r="I1015" s="4">
        <v>0</v>
      </c>
    </row>
    <row r="1016" spans="1:9" x14ac:dyDescent="0.2">
      <c r="A1016" s="2">
        <v>15</v>
      </c>
      <c r="B1016" s="1" t="s">
        <v>130</v>
      </c>
      <c r="C1016" s="4">
        <v>51</v>
      </c>
      <c r="D1016" s="8">
        <v>1.97</v>
      </c>
      <c r="E1016" s="4">
        <v>20</v>
      </c>
      <c r="F1016" s="8">
        <v>1.51</v>
      </c>
      <c r="G1016" s="4">
        <v>31</v>
      </c>
      <c r="H1016" s="8">
        <v>2.4700000000000002</v>
      </c>
      <c r="I1016" s="4">
        <v>0</v>
      </c>
    </row>
    <row r="1017" spans="1:9" x14ac:dyDescent="0.2">
      <c r="A1017" s="2">
        <v>16</v>
      </c>
      <c r="B1017" s="1" t="s">
        <v>117</v>
      </c>
      <c r="C1017" s="4">
        <v>50</v>
      </c>
      <c r="D1017" s="8">
        <v>1.93</v>
      </c>
      <c r="E1017" s="4">
        <v>0</v>
      </c>
      <c r="F1017" s="8">
        <v>0</v>
      </c>
      <c r="G1017" s="4">
        <v>47</v>
      </c>
      <c r="H1017" s="8">
        <v>3.74</v>
      </c>
      <c r="I1017" s="4">
        <v>0</v>
      </c>
    </row>
    <row r="1018" spans="1:9" x14ac:dyDescent="0.2">
      <c r="A1018" s="2">
        <v>17</v>
      </c>
      <c r="B1018" s="1" t="s">
        <v>102</v>
      </c>
      <c r="C1018" s="4">
        <v>41</v>
      </c>
      <c r="D1018" s="8">
        <v>1.58</v>
      </c>
      <c r="E1018" s="4">
        <v>17</v>
      </c>
      <c r="F1018" s="8">
        <v>1.29</v>
      </c>
      <c r="G1018" s="4">
        <v>24</v>
      </c>
      <c r="H1018" s="8">
        <v>1.91</v>
      </c>
      <c r="I1018" s="4">
        <v>0</v>
      </c>
    </row>
    <row r="1019" spans="1:9" x14ac:dyDescent="0.2">
      <c r="A1019" s="2">
        <v>18</v>
      </c>
      <c r="B1019" s="1" t="s">
        <v>101</v>
      </c>
      <c r="C1019" s="4">
        <v>40</v>
      </c>
      <c r="D1019" s="8">
        <v>1.55</v>
      </c>
      <c r="E1019" s="4">
        <v>15</v>
      </c>
      <c r="F1019" s="8">
        <v>1.1399999999999999</v>
      </c>
      <c r="G1019" s="4">
        <v>25</v>
      </c>
      <c r="H1019" s="8">
        <v>1.99</v>
      </c>
      <c r="I1019" s="4">
        <v>0</v>
      </c>
    </row>
    <row r="1020" spans="1:9" x14ac:dyDescent="0.2">
      <c r="A1020" s="2">
        <v>18</v>
      </c>
      <c r="B1020" s="1" t="s">
        <v>109</v>
      </c>
      <c r="C1020" s="4">
        <v>40</v>
      </c>
      <c r="D1020" s="8">
        <v>1.55</v>
      </c>
      <c r="E1020" s="4">
        <v>8</v>
      </c>
      <c r="F1020" s="8">
        <v>0.61</v>
      </c>
      <c r="G1020" s="4">
        <v>32</v>
      </c>
      <c r="H1020" s="8">
        <v>2.5499999999999998</v>
      </c>
      <c r="I1020" s="4">
        <v>0</v>
      </c>
    </row>
    <row r="1021" spans="1:9" x14ac:dyDescent="0.2">
      <c r="A1021" s="2">
        <v>20</v>
      </c>
      <c r="B1021" s="1" t="s">
        <v>104</v>
      </c>
      <c r="C1021" s="4">
        <v>36</v>
      </c>
      <c r="D1021" s="8">
        <v>1.39</v>
      </c>
      <c r="E1021" s="4">
        <v>6</v>
      </c>
      <c r="F1021" s="8">
        <v>0.45</v>
      </c>
      <c r="G1021" s="4">
        <v>30</v>
      </c>
      <c r="H1021" s="8">
        <v>2.39</v>
      </c>
      <c r="I1021" s="4">
        <v>0</v>
      </c>
    </row>
    <row r="1022" spans="1:9" x14ac:dyDescent="0.2">
      <c r="A1022" s="2">
        <v>20</v>
      </c>
      <c r="B1022" s="1" t="s">
        <v>129</v>
      </c>
      <c r="C1022" s="4">
        <v>36</v>
      </c>
      <c r="D1022" s="8">
        <v>1.39</v>
      </c>
      <c r="E1022" s="4">
        <v>33</v>
      </c>
      <c r="F1022" s="8">
        <v>2.5</v>
      </c>
      <c r="G1022" s="4">
        <v>3</v>
      </c>
      <c r="H1022" s="8">
        <v>0.24</v>
      </c>
      <c r="I1022" s="4">
        <v>0</v>
      </c>
    </row>
    <row r="1023" spans="1:9" x14ac:dyDescent="0.2">
      <c r="A1023" s="1"/>
      <c r="C1023" s="4"/>
      <c r="D1023" s="8"/>
      <c r="E1023" s="4"/>
      <c r="F1023" s="8"/>
      <c r="G1023" s="4"/>
      <c r="H1023" s="8"/>
      <c r="I1023" s="4"/>
    </row>
    <row r="1024" spans="1:9" x14ac:dyDescent="0.2">
      <c r="A1024" s="1" t="s">
        <v>46</v>
      </c>
      <c r="C1024" s="4"/>
      <c r="D1024" s="8"/>
      <c r="E1024" s="4"/>
      <c r="F1024" s="8"/>
      <c r="G1024" s="4"/>
      <c r="H1024" s="8"/>
      <c r="I1024" s="4"/>
    </row>
    <row r="1025" spans="1:9" x14ac:dyDescent="0.2">
      <c r="A1025" s="2">
        <v>1</v>
      </c>
      <c r="B1025" s="1" t="s">
        <v>110</v>
      </c>
      <c r="C1025" s="4">
        <v>347</v>
      </c>
      <c r="D1025" s="8">
        <v>17.36</v>
      </c>
      <c r="E1025" s="4">
        <v>205</v>
      </c>
      <c r="F1025" s="8">
        <v>19.07</v>
      </c>
      <c r="G1025" s="4">
        <v>141</v>
      </c>
      <c r="H1025" s="8">
        <v>15.46</v>
      </c>
      <c r="I1025" s="4">
        <v>1</v>
      </c>
    </row>
    <row r="1026" spans="1:9" x14ac:dyDescent="0.2">
      <c r="A1026" s="2">
        <v>2</v>
      </c>
      <c r="B1026" s="1" t="s">
        <v>114</v>
      </c>
      <c r="C1026" s="4">
        <v>158</v>
      </c>
      <c r="D1026" s="8">
        <v>7.9</v>
      </c>
      <c r="E1026" s="4">
        <v>137</v>
      </c>
      <c r="F1026" s="8">
        <v>12.74</v>
      </c>
      <c r="G1026" s="4">
        <v>21</v>
      </c>
      <c r="H1026" s="8">
        <v>2.2999999999999998</v>
      </c>
      <c r="I1026" s="4">
        <v>0</v>
      </c>
    </row>
    <row r="1027" spans="1:9" x14ac:dyDescent="0.2">
      <c r="A1027" s="2">
        <v>3</v>
      </c>
      <c r="B1027" s="1" t="s">
        <v>113</v>
      </c>
      <c r="C1027" s="4">
        <v>139</v>
      </c>
      <c r="D1027" s="8">
        <v>6.95</v>
      </c>
      <c r="E1027" s="4">
        <v>130</v>
      </c>
      <c r="F1027" s="8">
        <v>12.09</v>
      </c>
      <c r="G1027" s="4">
        <v>9</v>
      </c>
      <c r="H1027" s="8">
        <v>0.99</v>
      </c>
      <c r="I1027" s="4">
        <v>0</v>
      </c>
    </row>
    <row r="1028" spans="1:9" x14ac:dyDescent="0.2">
      <c r="A1028" s="2">
        <v>4</v>
      </c>
      <c r="B1028" s="1" t="s">
        <v>108</v>
      </c>
      <c r="C1028" s="4">
        <v>121</v>
      </c>
      <c r="D1028" s="8">
        <v>6.05</v>
      </c>
      <c r="E1028" s="4">
        <v>82</v>
      </c>
      <c r="F1028" s="8">
        <v>7.63</v>
      </c>
      <c r="G1028" s="4">
        <v>39</v>
      </c>
      <c r="H1028" s="8">
        <v>4.28</v>
      </c>
      <c r="I1028" s="4">
        <v>0</v>
      </c>
    </row>
    <row r="1029" spans="1:9" x14ac:dyDescent="0.2">
      <c r="A1029" s="2">
        <v>5</v>
      </c>
      <c r="B1029" s="1" t="s">
        <v>98</v>
      </c>
      <c r="C1029" s="4">
        <v>112</v>
      </c>
      <c r="D1029" s="8">
        <v>5.6</v>
      </c>
      <c r="E1029" s="4">
        <v>28</v>
      </c>
      <c r="F1029" s="8">
        <v>2.6</v>
      </c>
      <c r="G1029" s="4">
        <v>84</v>
      </c>
      <c r="H1029" s="8">
        <v>9.2100000000000009</v>
      </c>
      <c r="I1029" s="4">
        <v>0</v>
      </c>
    </row>
    <row r="1030" spans="1:9" x14ac:dyDescent="0.2">
      <c r="A1030" s="2">
        <v>6</v>
      </c>
      <c r="B1030" s="1" t="s">
        <v>115</v>
      </c>
      <c r="C1030" s="4">
        <v>90</v>
      </c>
      <c r="D1030" s="8">
        <v>4.5</v>
      </c>
      <c r="E1030" s="4">
        <v>73</v>
      </c>
      <c r="F1030" s="8">
        <v>6.79</v>
      </c>
      <c r="G1030" s="4">
        <v>14</v>
      </c>
      <c r="H1030" s="8">
        <v>1.54</v>
      </c>
      <c r="I1030" s="4">
        <v>0</v>
      </c>
    </row>
    <row r="1031" spans="1:9" x14ac:dyDescent="0.2">
      <c r="A1031" s="2">
        <v>7</v>
      </c>
      <c r="B1031" s="1" t="s">
        <v>116</v>
      </c>
      <c r="C1031" s="4">
        <v>74</v>
      </c>
      <c r="D1031" s="8">
        <v>3.7</v>
      </c>
      <c r="E1031" s="4">
        <v>63</v>
      </c>
      <c r="F1031" s="8">
        <v>5.86</v>
      </c>
      <c r="G1031" s="4">
        <v>10</v>
      </c>
      <c r="H1031" s="8">
        <v>1.1000000000000001</v>
      </c>
      <c r="I1031" s="4">
        <v>1</v>
      </c>
    </row>
    <row r="1032" spans="1:9" x14ac:dyDescent="0.2">
      <c r="A1032" s="2">
        <v>8</v>
      </c>
      <c r="B1032" s="1" t="s">
        <v>106</v>
      </c>
      <c r="C1032" s="4">
        <v>65</v>
      </c>
      <c r="D1032" s="8">
        <v>3.25</v>
      </c>
      <c r="E1032" s="4">
        <v>52</v>
      </c>
      <c r="F1032" s="8">
        <v>4.84</v>
      </c>
      <c r="G1032" s="4">
        <v>12</v>
      </c>
      <c r="H1032" s="8">
        <v>1.32</v>
      </c>
      <c r="I1032" s="4">
        <v>1</v>
      </c>
    </row>
    <row r="1033" spans="1:9" x14ac:dyDescent="0.2">
      <c r="A1033" s="2">
        <v>9</v>
      </c>
      <c r="B1033" s="1" t="s">
        <v>107</v>
      </c>
      <c r="C1033" s="4">
        <v>60</v>
      </c>
      <c r="D1033" s="8">
        <v>3</v>
      </c>
      <c r="E1033" s="4">
        <v>37</v>
      </c>
      <c r="F1033" s="8">
        <v>3.44</v>
      </c>
      <c r="G1033" s="4">
        <v>23</v>
      </c>
      <c r="H1033" s="8">
        <v>2.52</v>
      </c>
      <c r="I1033" s="4">
        <v>0</v>
      </c>
    </row>
    <row r="1034" spans="1:9" x14ac:dyDescent="0.2">
      <c r="A1034" s="2">
        <v>10</v>
      </c>
      <c r="B1034" s="1" t="s">
        <v>101</v>
      </c>
      <c r="C1034" s="4">
        <v>58</v>
      </c>
      <c r="D1034" s="8">
        <v>2.9</v>
      </c>
      <c r="E1034" s="4">
        <v>24</v>
      </c>
      <c r="F1034" s="8">
        <v>2.23</v>
      </c>
      <c r="G1034" s="4">
        <v>34</v>
      </c>
      <c r="H1034" s="8">
        <v>3.73</v>
      </c>
      <c r="I1034" s="4">
        <v>0</v>
      </c>
    </row>
    <row r="1035" spans="1:9" x14ac:dyDescent="0.2">
      <c r="A1035" s="2">
        <v>11</v>
      </c>
      <c r="B1035" s="1" t="s">
        <v>99</v>
      </c>
      <c r="C1035" s="4">
        <v>56</v>
      </c>
      <c r="D1035" s="8">
        <v>2.8</v>
      </c>
      <c r="E1035" s="4">
        <v>17</v>
      </c>
      <c r="F1035" s="8">
        <v>1.58</v>
      </c>
      <c r="G1035" s="4">
        <v>39</v>
      </c>
      <c r="H1035" s="8">
        <v>4.28</v>
      </c>
      <c r="I1035" s="4">
        <v>0</v>
      </c>
    </row>
    <row r="1036" spans="1:9" x14ac:dyDescent="0.2">
      <c r="A1036" s="2">
        <v>11</v>
      </c>
      <c r="B1036" s="1" t="s">
        <v>100</v>
      </c>
      <c r="C1036" s="4">
        <v>56</v>
      </c>
      <c r="D1036" s="8">
        <v>2.8</v>
      </c>
      <c r="E1036" s="4">
        <v>18</v>
      </c>
      <c r="F1036" s="8">
        <v>1.67</v>
      </c>
      <c r="G1036" s="4">
        <v>38</v>
      </c>
      <c r="H1036" s="8">
        <v>4.17</v>
      </c>
      <c r="I1036" s="4">
        <v>0</v>
      </c>
    </row>
    <row r="1037" spans="1:9" x14ac:dyDescent="0.2">
      <c r="A1037" s="2">
        <v>13</v>
      </c>
      <c r="B1037" s="1" t="s">
        <v>105</v>
      </c>
      <c r="C1037" s="4">
        <v>47</v>
      </c>
      <c r="D1037" s="8">
        <v>2.35</v>
      </c>
      <c r="E1037" s="4">
        <v>28</v>
      </c>
      <c r="F1037" s="8">
        <v>2.6</v>
      </c>
      <c r="G1037" s="4">
        <v>19</v>
      </c>
      <c r="H1037" s="8">
        <v>2.08</v>
      </c>
      <c r="I1037" s="4">
        <v>0</v>
      </c>
    </row>
    <row r="1038" spans="1:9" x14ac:dyDescent="0.2">
      <c r="A1038" s="2">
        <v>14</v>
      </c>
      <c r="B1038" s="1" t="s">
        <v>111</v>
      </c>
      <c r="C1038" s="4">
        <v>41</v>
      </c>
      <c r="D1038" s="8">
        <v>2.0499999999999998</v>
      </c>
      <c r="E1038" s="4">
        <v>26</v>
      </c>
      <c r="F1038" s="8">
        <v>2.42</v>
      </c>
      <c r="G1038" s="4">
        <v>15</v>
      </c>
      <c r="H1038" s="8">
        <v>1.64</v>
      </c>
      <c r="I1038" s="4">
        <v>0</v>
      </c>
    </row>
    <row r="1039" spans="1:9" x14ac:dyDescent="0.2">
      <c r="A1039" s="2">
        <v>15</v>
      </c>
      <c r="B1039" s="1" t="s">
        <v>117</v>
      </c>
      <c r="C1039" s="4">
        <v>34</v>
      </c>
      <c r="D1039" s="8">
        <v>1.7</v>
      </c>
      <c r="E1039" s="4">
        <v>0</v>
      </c>
      <c r="F1039" s="8">
        <v>0</v>
      </c>
      <c r="G1039" s="4">
        <v>31</v>
      </c>
      <c r="H1039" s="8">
        <v>3.4</v>
      </c>
      <c r="I1039" s="4">
        <v>1</v>
      </c>
    </row>
    <row r="1040" spans="1:9" x14ac:dyDescent="0.2">
      <c r="A1040" s="2">
        <v>16</v>
      </c>
      <c r="B1040" s="1" t="s">
        <v>112</v>
      </c>
      <c r="C1040" s="4">
        <v>32</v>
      </c>
      <c r="D1040" s="8">
        <v>1.6</v>
      </c>
      <c r="E1040" s="4">
        <v>9</v>
      </c>
      <c r="F1040" s="8">
        <v>0.84</v>
      </c>
      <c r="G1040" s="4">
        <v>23</v>
      </c>
      <c r="H1040" s="8">
        <v>2.52</v>
      </c>
      <c r="I1040" s="4">
        <v>0</v>
      </c>
    </row>
    <row r="1041" spans="1:9" x14ac:dyDescent="0.2">
      <c r="A1041" s="2">
        <v>17</v>
      </c>
      <c r="B1041" s="1" t="s">
        <v>104</v>
      </c>
      <c r="C1041" s="4">
        <v>30</v>
      </c>
      <c r="D1041" s="8">
        <v>1.5</v>
      </c>
      <c r="E1041" s="4">
        <v>2</v>
      </c>
      <c r="F1041" s="8">
        <v>0.19</v>
      </c>
      <c r="G1041" s="4">
        <v>28</v>
      </c>
      <c r="H1041" s="8">
        <v>3.07</v>
      </c>
      <c r="I1041" s="4">
        <v>0</v>
      </c>
    </row>
    <row r="1042" spans="1:9" x14ac:dyDescent="0.2">
      <c r="A1042" s="2">
        <v>18</v>
      </c>
      <c r="B1042" s="1" t="s">
        <v>127</v>
      </c>
      <c r="C1042" s="4">
        <v>29</v>
      </c>
      <c r="D1042" s="8">
        <v>1.45</v>
      </c>
      <c r="E1042" s="4">
        <v>6</v>
      </c>
      <c r="F1042" s="8">
        <v>0.56000000000000005</v>
      </c>
      <c r="G1042" s="4">
        <v>23</v>
      </c>
      <c r="H1042" s="8">
        <v>2.52</v>
      </c>
      <c r="I1042" s="4">
        <v>0</v>
      </c>
    </row>
    <row r="1043" spans="1:9" x14ac:dyDescent="0.2">
      <c r="A1043" s="2">
        <v>18</v>
      </c>
      <c r="B1043" s="1" t="s">
        <v>109</v>
      </c>
      <c r="C1043" s="4">
        <v>29</v>
      </c>
      <c r="D1043" s="8">
        <v>1.45</v>
      </c>
      <c r="E1043" s="4">
        <v>6</v>
      </c>
      <c r="F1043" s="8">
        <v>0.56000000000000005</v>
      </c>
      <c r="G1043" s="4">
        <v>23</v>
      </c>
      <c r="H1043" s="8">
        <v>2.52</v>
      </c>
      <c r="I1043" s="4">
        <v>0</v>
      </c>
    </row>
    <row r="1044" spans="1:9" x14ac:dyDescent="0.2">
      <c r="A1044" s="2">
        <v>20</v>
      </c>
      <c r="B1044" s="1" t="s">
        <v>130</v>
      </c>
      <c r="C1044" s="4">
        <v>27</v>
      </c>
      <c r="D1044" s="8">
        <v>1.35</v>
      </c>
      <c r="E1044" s="4">
        <v>17</v>
      </c>
      <c r="F1044" s="8">
        <v>1.58</v>
      </c>
      <c r="G1044" s="4">
        <v>8</v>
      </c>
      <c r="H1044" s="8">
        <v>0.88</v>
      </c>
      <c r="I1044" s="4">
        <v>0</v>
      </c>
    </row>
    <row r="1045" spans="1:9" x14ac:dyDescent="0.2">
      <c r="A1045" s="1"/>
      <c r="C1045" s="4"/>
      <c r="D1045" s="8"/>
      <c r="E1045" s="4"/>
      <c r="F1045" s="8"/>
      <c r="G1045" s="4"/>
      <c r="H1045" s="8"/>
      <c r="I1045" s="4"/>
    </row>
    <row r="1046" spans="1:9" x14ac:dyDescent="0.2">
      <c r="A1046" s="1" t="s">
        <v>47</v>
      </c>
      <c r="C1046" s="4"/>
      <c r="D1046" s="8"/>
      <c r="E1046" s="4"/>
      <c r="F1046" s="8"/>
      <c r="G1046" s="4"/>
      <c r="H1046" s="8"/>
      <c r="I1046" s="4"/>
    </row>
    <row r="1047" spans="1:9" x14ac:dyDescent="0.2">
      <c r="A1047" s="2">
        <v>1</v>
      </c>
      <c r="B1047" s="1" t="s">
        <v>113</v>
      </c>
      <c r="C1047" s="4">
        <v>559</v>
      </c>
      <c r="D1047" s="8">
        <v>13.46</v>
      </c>
      <c r="E1047" s="4">
        <v>511</v>
      </c>
      <c r="F1047" s="8">
        <v>23.13</v>
      </c>
      <c r="G1047" s="4">
        <v>48</v>
      </c>
      <c r="H1047" s="8">
        <v>2.4900000000000002</v>
      </c>
      <c r="I1047" s="4">
        <v>0</v>
      </c>
    </row>
    <row r="1048" spans="1:9" x14ac:dyDescent="0.2">
      <c r="A1048" s="2">
        <v>2</v>
      </c>
      <c r="B1048" s="1" t="s">
        <v>110</v>
      </c>
      <c r="C1048" s="4">
        <v>453</v>
      </c>
      <c r="D1048" s="8">
        <v>10.91</v>
      </c>
      <c r="E1048" s="4">
        <v>167</v>
      </c>
      <c r="F1048" s="8">
        <v>7.56</v>
      </c>
      <c r="G1048" s="4">
        <v>286</v>
      </c>
      <c r="H1048" s="8">
        <v>14.82</v>
      </c>
      <c r="I1048" s="4">
        <v>0</v>
      </c>
    </row>
    <row r="1049" spans="1:9" x14ac:dyDescent="0.2">
      <c r="A1049" s="2">
        <v>3</v>
      </c>
      <c r="B1049" s="1" t="s">
        <v>114</v>
      </c>
      <c r="C1049" s="4">
        <v>440</v>
      </c>
      <c r="D1049" s="8">
        <v>10.59</v>
      </c>
      <c r="E1049" s="4">
        <v>397</v>
      </c>
      <c r="F1049" s="8">
        <v>17.97</v>
      </c>
      <c r="G1049" s="4">
        <v>42</v>
      </c>
      <c r="H1049" s="8">
        <v>2.1800000000000002</v>
      </c>
      <c r="I1049" s="4">
        <v>1</v>
      </c>
    </row>
    <row r="1050" spans="1:9" x14ac:dyDescent="0.2">
      <c r="A1050" s="2">
        <v>4</v>
      </c>
      <c r="B1050" s="1" t="s">
        <v>108</v>
      </c>
      <c r="C1050" s="4">
        <v>215</v>
      </c>
      <c r="D1050" s="8">
        <v>5.18</v>
      </c>
      <c r="E1050" s="4">
        <v>138</v>
      </c>
      <c r="F1050" s="8">
        <v>6.25</v>
      </c>
      <c r="G1050" s="4">
        <v>77</v>
      </c>
      <c r="H1050" s="8">
        <v>3.99</v>
      </c>
      <c r="I1050" s="4">
        <v>0</v>
      </c>
    </row>
    <row r="1051" spans="1:9" x14ac:dyDescent="0.2">
      <c r="A1051" s="2">
        <v>5</v>
      </c>
      <c r="B1051" s="1" t="s">
        <v>98</v>
      </c>
      <c r="C1051" s="4">
        <v>199</v>
      </c>
      <c r="D1051" s="8">
        <v>4.79</v>
      </c>
      <c r="E1051" s="4">
        <v>38</v>
      </c>
      <c r="F1051" s="8">
        <v>1.72</v>
      </c>
      <c r="G1051" s="4">
        <v>161</v>
      </c>
      <c r="H1051" s="8">
        <v>8.34</v>
      </c>
      <c r="I1051" s="4">
        <v>0</v>
      </c>
    </row>
    <row r="1052" spans="1:9" x14ac:dyDescent="0.2">
      <c r="A1052" s="2">
        <v>6</v>
      </c>
      <c r="B1052" s="1" t="s">
        <v>99</v>
      </c>
      <c r="C1052" s="4">
        <v>189</v>
      </c>
      <c r="D1052" s="8">
        <v>4.55</v>
      </c>
      <c r="E1052" s="4">
        <v>63</v>
      </c>
      <c r="F1052" s="8">
        <v>2.85</v>
      </c>
      <c r="G1052" s="4">
        <v>126</v>
      </c>
      <c r="H1052" s="8">
        <v>6.53</v>
      </c>
      <c r="I1052" s="4">
        <v>0</v>
      </c>
    </row>
    <row r="1053" spans="1:9" x14ac:dyDescent="0.2">
      <c r="A1053" s="2">
        <v>7</v>
      </c>
      <c r="B1053" s="1" t="s">
        <v>100</v>
      </c>
      <c r="C1053" s="4">
        <v>176</v>
      </c>
      <c r="D1053" s="8">
        <v>4.24</v>
      </c>
      <c r="E1053" s="4">
        <v>33</v>
      </c>
      <c r="F1053" s="8">
        <v>1.49</v>
      </c>
      <c r="G1053" s="4">
        <v>143</v>
      </c>
      <c r="H1053" s="8">
        <v>7.41</v>
      </c>
      <c r="I1053" s="4">
        <v>0</v>
      </c>
    </row>
    <row r="1054" spans="1:9" x14ac:dyDescent="0.2">
      <c r="A1054" s="2">
        <v>7</v>
      </c>
      <c r="B1054" s="1" t="s">
        <v>106</v>
      </c>
      <c r="C1054" s="4">
        <v>176</v>
      </c>
      <c r="D1054" s="8">
        <v>4.24</v>
      </c>
      <c r="E1054" s="4">
        <v>128</v>
      </c>
      <c r="F1054" s="8">
        <v>5.79</v>
      </c>
      <c r="G1054" s="4">
        <v>48</v>
      </c>
      <c r="H1054" s="8">
        <v>2.4900000000000002</v>
      </c>
      <c r="I1054" s="4">
        <v>0</v>
      </c>
    </row>
    <row r="1055" spans="1:9" x14ac:dyDescent="0.2">
      <c r="A1055" s="2">
        <v>9</v>
      </c>
      <c r="B1055" s="1" t="s">
        <v>116</v>
      </c>
      <c r="C1055" s="4">
        <v>168</v>
      </c>
      <c r="D1055" s="8">
        <v>4.04</v>
      </c>
      <c r="E1055" s="4">
        <v>139</v>
      </c>
      <c r="F1055" s="8">
        <v>6.29</v>
      </c>
      <c r="G1055" s="4">
        <v>28</v>
      </c>
      <c r="H1055" s="8">
        <v>1.45</v>
      </c>
      <c r="I1055" s="4">
        <v>1</v>
      </c>
    </row>
    <row r="1056" spans="1:9" x14ac:dyDescent="0.2">
      <c r="A1056" s="2">
        <v>10</v>
      </c>
      <c r="B1056" s="1" t="s">
        <v>115</v>
      </c>
      <c r="C1056" s="4">
        <v>138</v>
      </c>
      <c r="D1056" s="8">
        <v>3.32</v>
      </c>
      <c r="E1056" s="4">
        <v>101</v>
      </c>
      <c r="F1056" s="8">
        <v>4.57</v>
      </c>
      <c r="G1056" s="4">
        <v>35</v>
      </c>
      <c r="H1056" s="8">
        <v>1.81</v>
      </c>
      <c r="I1056" s="4">
        <v>1</v>
      </c>
    </row>
    <row r="1057" spans="1:9" x14ac:dyDescent="0.2">
      <c r="A1057" s="2">
        <v>11</v>
      </c>
      <c r="B1057" s="1" t="s">
        <v>107</v>
      </c>
      <c r="C1057" s="4">
        <v>124</v>
      </c>
      <c r="D1057" s="8">
        <v>2.99</v>
      </c>
      <c r="E1057" s="4">
        <v>78</v>
      </c>
      <c r="F1057" s="8">
        <v>3.53</v>
      </c>
      <c r="G1057" s="4">
        <v>46</v>
      </c>
      <c r="H1057" s="8">
        <v>2.38</v>
      </c>
      <c r="I1057" s="4">
        <v>0</v>
      </c>
    </row>
    <row r="1058" spans="1:9" x14ac:dyDescent="0.2">
      <c r="A1058" s="2">
        <v>12</v>
      </c>
      <c r="B1058" s="1" t="s">
        <v>105</v>
      </c>
      <c r="C1058" s="4">
        <v>91</v>
      </c>
      <c r="D1058" s="8">
        <v>2.19</v>
      </c>
      <c r="E1058" s="4">
        <v>65</v>
      </c>
      <c r="F1058" s="8">
        <v>2.94</v>
      </c>
      <c r="G1058" s="4">
        <v>26</v>
      </c>
      <c r="H1058" s="8">
        <v>1.35</v>
      </c>
      <c r="I1058" s="4">
        <v>0</v>
      </c>
    </row>
    <row r="1059" spans="1:9" x14ac:dyDescent="0.2">
      <c r="A1059" s="2">
        <v>13</v>
      </c>
      <c r="B1059" s="1" t="s">
        <v>117</v>
      </c>
      <c r="C1059" s="4">
        <v>88</v>
      </c>
      <c r="D1059" s="8">
        <v>2.12</v>
      </c>
      <c r="E1059" s="4">
        <v>2</v>
      </c>
      <c r="F1059" s="8">
        <v>0.09</v>
      </c>
      <c r="G1059" s="4">
        <v>81</v>
      </c>
      <c r="H1059" s="8">
        <v>4.2</v>
      </c>
      <c r="I1059" s="4">
        <v>0</v>
      </c>
    </row>
    <row r="1060" spans="1:9" x14ac:dyDescent="0.2">
      <c r="A1060" s="2">
        <v>14</v>
      </c>
      <c r="B1060" s="1" t="s">
        <v>109</v>
      </c>
      <c r="C1060" s="4">
        <v>86</v>
      </c>
      <c r="D1060" s="8">
        <v>2.0699999999999998</v>
      </c>
      <c r="E1060" s="4">
        <v>17</v>
      </c>
      <c r="F1060" s="8">
        <v>0.77</v>
      </c>
      <c r="G1060" s="4">
        <v>69</v>
      </c>
      <c r="H1060" s="8">
        <v>3.58</v>
      </c>
      <c r="I1060" s="4">
        <v>0</v>
      </c>
    </row>
    <row r="1061" spans="1:9" x14ac:dyDescent="0.2">
      <c r="A1061" s="2">
        <v>15</v>
      </c>
      <c r="B1061" s="1" t="s">
        <v>112</v>
      </c>
      <c r="C1061" s="4">
        <v>77</v>
      </c>
      <c r="D1061" s="8">
        <v>1.85</v>
      </c>
      <c r="E1061" s="4">
        <v>38</v>
      </c>
      <c r="F1061" s="8">
        <v>1.72</v>
      </c>
      <c r="G1061" s="4">
        <v>39</v>
      </c>
      <c r="H1061" s="8">
        <v>2.02</v>
      </c>
      <c r="I1061" s="4">
        <v>0</v>
      </c>
    </row>
    <row r="1062" spans="1:9" x14ac:dyDescent="0.2">
      <c r="A1062" s="2">
        <v>16</v>
      </c>
      <c r="B1062" s="1" t="s">
        <v>111</v>
      </c>
      <c r="C1062" s="4">
        <v>73</v>
      </c>
      <c r="D1062" s="8">
        <v>1.76</v>
      </c>
      <c r="E1062" s="4">
        <v>45</v>
      </c>
      <c r="F1062" s="8">
        <v>2.04</v>
      </c>
      <c r="G1062" s="4">
        <v>28</v>
      </c>
      <c r="H1062" s="8">
        <v>1.45</v>
      </c>
      <c r="I1062" s="4">
        <v>0</v>
      </c>
    </row>
    <row r="1063" spans="1:9" x14ac:dyDescent="0.2">
      <c r="A1063" s="2">
        <v>17</v>
      </c>
      <c r="B1063" s="1" t="s">
        <v>130</v>
      </c>
      <c r="C1063" s="4">
        <v>69</v>
      </c>
      <c r="D1063" s="8">
        <v>1.66</v>
      </c>
      <c r="E1063" s="4">
        <v>29</v>
      </c>
      <c r="F1063" s="8">
        <v>1.31</v>
      </c>
      <c r="G1063" s="4">
        <v>39</v>
      </c>
      <c r="H1063" s="8">
        <v>2.02</v>
      </c>
      <c r="I1063" s="4">
        <v>1</v>
      </c>
    </row>
    <row r="1064" spans="1:9" x14ac:dyDescent="0.2">
      <c r="A1064" s="2">
        <v>18</v>
      </c>
      <c r="B1064" s="1" t="s">
        <v>103</v>
      </c>
      <c r="C1064" s="4">
        <v>55</v>
      </c>
      <c r="D1064" s="8">
        <v>1.32</v>
      </c>
      <c r="E1064" s="4">
        <v>4</v>
      </c>
      <c r="F1064" s="8">
        <v>0.18</v>
      </c>
      <c r="G1064" s="4">
        <v>51</v>
      </c>
      <c r="H1064" s="8">
        <v>2.64</v>
      </c>
      <c r="I1064" s="4">
        <v>0</v>
      </c>
    </row>
    <row r="1065" spans="1:9" x14ac:dyDescent="0.2">
      <c r="A1065" s="2">
        <v>19</v>
      </c>
      <c r="B1065" s="1" t="s">
        <v>101</v>
      </c>
      <c r="C1065" s="4">
        <v>52</v>
      </c>
      <c r="D1065" s="8">
        <v>1.25</v>
      </c>
      <c r="E1065" s="4">
        <v>19</v>
      </c>
      <c r="F1065" s="8">
        <v>0.86</v>
      </c>
      <c r="G1065" s="4">
        <v>33</v>
      </c>
      <c r="H1065" s="8">
        <v>1.71</v>
      </c>
      <c r="I1065" s="4">
        <v>0</v>
      </c>
    </row>
    <row r="1066" spans="1:9" x14ac:dyDescent="0.2">
      <c r="A1066" s="2">
        <v>20</v>
      </c>
      <c r="B1066" s="1" t="s">
        <v>127</v>
      </c>
      <c r="C1066" s="4">
        <v>51</v>
      </c>
      <c r="D1066" s="8">
        <v>1.23</v>
      </c>
      <c r="E1066" s="4">
        <v>11</v>
      </c>
      <c r="F1066" s="8">
        <v>0.5</v>
      </c>
      <c r="G1066" s="4">
        <v>40</v>
      </c>
      <c r="H1066" s="8">
        <v>2.0699999999999998</v>
      </c>
      <c r="I1066" s="4">
        <v>0</v>
      </c>
    </row>
    <row r="1067" spans="1:9" x14ac:dyDescent="0.2">
      <c r="A1067" s="1"/>
      <c r="C1067" s="4"/>
      <c r="D1067" s="8"/>
      <c r="E1067" s="4"/>
      <c r="F1067" s="8"/>
      <c r="G1067" s="4"/>
      <c r="H1067" s="8"/>
      <c r="I1067" s="4"/>
    </row>
    <row r="1068" spans="1:9" x14ac:dyDescent="0.2">
      <c r="A1068" s="1" t="s">
        <v>48</v>
      </c>
      <c r="C1068" s="4"/>
      <c r="D1068" s="8"/>
      <c r="E1068" s="4"/>
      <c r="F1068" s="8"/>
      <c r="G1068" s="4"/>
      <c r="H1068" s="8"/>
      <c r="I1068" s="4"/>
    </row>
    <row r="1069" spans="1:9" x14ac:dyDescent="0.2">
      <c r="A1069" s="2">
        <v>1</v>
      </c>
      <c r="B1069" s="1" t="s">
        <v>110</v>
      </c>
      <c r="C1069" s="4">
        <v>188</v>
      </c>
      <c r="D1069" s="8">
        <v>11.53</v>
      </c>
      <c r="E1069" s="4">
        <v>88</v>
      </c>
      <c r="F1069" s="8">
        <v>9.7200000000000006</v>
      </c>
      <c r="G1069" s="4">
        <v>100</v>
      </c>
      <c r="H1069" s="8">
        <v>14.04</v>
      </c>
      <c r="I1069" s="4">
        <v>0</v>
      </c>
    </row>
    <row r="1070" spans="1:9" x14ac:dyDescent="0.2">
      <c r="A1070" s="2">
        <v>2</v>
      </c>
      <c r="B1070" s="1" t="s">
        <v>114</v>
      </c>
      <c r="C1070" s="4">
        <v>163</v>
      </c>
      <c r="D1070" s="8">
        <v>9.99</v>
      </c>
      <c r="E1070" s="4">
        <v>140</v>
      </c>
      <c r="F1070" s="8">
        <v>15.47</v>
      </c>
      <c r="G1070" s="4">
        <v>23</v>
      </c>
      <c r="H1070" s="8">
        <v>3.23</v>
      </c>
      <c r="I1070" s="4">
        <v>0</v>
      </c>
    </row>
    <row r="1071" spans="1:9" x14ac:dyDescent="0.2">
      <c r="A1071" s="2">
        <v>3</v>
      </c>
      <c r="B1071" s="1" t="s">
        <v>113</v>
      </c>
      <c r="C1071" s="4">
        <v>130</v>
      </c>
      <c r="D1071" s="8">
        <v>7.97</v>
      </c>
      <c r="E1071" s="4">
        <v>124</v>
      </c>
      <c r="F1071" s="8">
        <v>13.7</v>
      </c>
      <c r="G1071" s="4">
        <v>6</v>
      </c>
      <c r="H1071" s="8">
        <v>0.84</v>
      </c>
      <c r="I1071" s="4">
        <v>0</v>
      </c>
    </row>
    <row r="1072" spans="1:9" x14ac:dyDescent="0.2">
      <c r="A1072" s="2">
        <v>4</v>
      </c>
      <c r="B1072" s="1" t="s">
        <v>108</v>
      </c>
      <c r="C1072" s="4">
        <v>112</v>
      </c>
      <c r="D1072" s="8">
        <v>6.87</v>
      </c>
      <c r="E1072" s="4">
        <v>74</v>
      </c>
      <c r="F1072" s="8">
        <v>8.18</v>
      </c>
      <c r="G1072" s="4">
        <v>38</v>
      </c>
      <c r="H1072" s="8">
        <v>5.34</v>
      </c>
      <c r="I1072" s="4">
        <v>0</v>
      </c>
    </row>
    <row r="1073" spans="1:9" x14ac:dyDescent="0.2">
      <c r="A1073" s="2">
        <v>5</v>
      </c>
      <c r="B1073" s="1" t="s">
        <v>98</v>
      </c>
      <c r="C1073" s="4">
        <v>106</v>
      </c>
      <c r="D1073" s="8">
        <v>6.5</v>
      </c>
      <c r="E1073" s="4">
        <v>24</v>
      </c>
      <c r="F1073" s="8">
        <v>2.65</v>
      </c>
      <c r="G1073" s="4">
        <v>82</v>
      </c>
      <c r="H1073" s="8">
        <v>11.52</v>
      </c>
      <c r="I1073" s="4">
        <v>0</v>
      </c>
    </row>
    <row r="1074" spans="1:9" x14ac:dyDescent="0.2">
      <c r="A1074" s="2">
        <v>6</v>
      </c>
      <c r="B1074" s="1" t="s">
        <v>115</v>
      </c>
      <c r="C1074" s="4">
        <v>95</v>
      </c>
      <c r="D1074" s="8">
        <v>5.82</v>
      </c>
      <c r="E1074" s="4">
        <v>70</v>
      </c>
      <c r="F1074" s="8">
        <v>7.73</v>
      </c>
      <c r="G1074" s="4">
        <v>16</v>
      </c>
      <c r="H1074" s="8">
        <v>2.25</v>
      </c>
      <c r="I1074" s="4">
        <v>0</v>
      </c>
    </row>
    <row r="1075" spans="1:9" x14ac:dyDescent="0.2">
      <c r="A1075" s="2">
        <v>7</v>
      </c>
      <c r="B1075" s="1" t="s">
        <v>106</v>
      </c>
      <c r="C1075" s="4">
        <v>74</v>
      </c>
      <c r="D1075" s="8">
        <v>4.54</v>
      </c>
      <c r="E1075" s="4">
        <v>59</v>
      </c>
      <c r="F1075" s="8">
        <v>6.52</v>
      </c>
      <c r="G1075" s="4">
        <v>15</v>
      </c>
      <c r="H1075" s="8">
        <v>2.11</v>
      </c>
      <c r="I1075" s="4">
        <v>0</v>
      </c>
    </row>
    <row r="1076" spans="1:9" x14ac:dyDescent="0.2">
      <c r="A1076" s="2">
        <v>8</v>
      </c>
      <c r="B1076" s="1" t="s">
        <v>116</v>
      </c>
      <c r="C1076" s="4">
        <v>72</v>
      </c>
      <c r="D1076" s="8">
        <v>4.41</v>
      </c>
      <c r="E1076" s="4">
        <v>58</v>
      </c>
      <c r="F1076" s="8">
        <v>6.41</v>
      </c>
      <c r="G1076" s="4">
        <v>14</v>
      </c>
      <c r="H1076" s="8">
        <v>1.97</v>
      </c>
      <c r="I1076" s="4">
        <v>0</v>
      </c>
    </row>
    <row r="1077" spans="1:9" x14ac:dyDescent="0.2">
      <c r="A1077" s="2">
        <v>9</v>
      </c>
      <c r="B1077" s="1" t="s">
        <v>107</v>
      </c>
      <c r="C1077" s="4">
        <v>59</v>
      </c>
      <c r="D1077" s="8">
        <v>3.62</v>
      </c>
      <c r="E1077" s="4">
        <v>37</v>
      </c>
      <c r="F1077" s="8">
        <v>4.09</v>
      </c>
      <c r="G1077" s="4">
        <v>22</v>
      </c>
      <c r="H1077" s="8">
        <v>3.09</v>
      </c>
      <c r="I1077" s="4">
        <v>0</v>
      </c>
    </row>
    <row r="1078" spans="1:9" x14ac:dyDescent="0.2">
      <c r="A1078" s="2">
        <v>10</v>
      </c>
      <c r="B1078" s="1" t="s">
        <v>111</v>
      </c>
      <c r="C1078" s="4">
        <v>54</v>
      </c>
      <c r="D1078" s="8">
        <v>3.31</v>
      </c>
      <c r="E1078" s="4">
        <v>29</v>
      </c>
      <c r="F1078" s="8">
        <v>3.2</v>
      </c>
      <c r="G1078" s="4">
        <v>25</v>
      </c>
      <c r="H1078" s="8">
        <v>3.51</v>
      </c>
      <c r="I1078" s="4">
        <v>0</v>
      </c>
    </row>
    <row r="1079" spans="1:9" x14ac:dyDescent="0.2">
      <c r="A1079" s="2">
        <v>11</v>
      </c>
      <c r="B1079" s="1" t="s">
        <v>99</v>
      </c>
      <c r="C1079" s="4">
        <v>41</v>
      </c>
      <c r="D1079" s="8">
        <v>2.5099999999999998</v>
      </c>
      <c r="E1079" s="4">
        <v>16</v>
      </c>
      <c r="F1079" s="8">
        <v>1.77</v>
      </c>
      <c r="G1079" s="4">
        <v>25</v>
      </c>
      <c r="H1079" s="8">
        <v>3.51</v>
      </c>
      <c r="I1079" s="4">
        <v>0</v>
      </c>
    </row>
    <row r="1080" spans="1:9" x14ac:dyDescent="0.2">
      <c r="A1080" s="2">
        <v>12</v>
      </c>
      <c r="B1080" s="1" t="s">
        <v>100</v>
      </c>
      <c r="C1080" s="4">
        <v>38</v>
      </c>
      <c r="D1080" s="8">
        <v>2.33</v>
      </c>
      <c r="E1080" s="4">
        <v>7</v>
      </c>
      <c r="F1080" s="8">
        <v>0.77</v>
      </c>
      <c r="G1080" s="4">
        <v>31</v>
      </c>
      <c r="H1080" s="8">
        <v>4.3499999999999996</v>
      </c>
      <c r="I1080" s="4">
        <v>0</v>
      </c>
    </row>
    <row r="1081" spans="1:9" x14ac:dyDescent="0.2">
      <c r="A1081" s="2">
        <v>13</v>
      </c>
      <c r="B1081" s="1" t="s">
        <v>105</v>
      </c>
      <c r="C1081" s="4">
        <v>34</v>
      </c>
      <c r="D1081" s="8">
        <v>2.08</v>
      </c>
      <c r="E1081" s="4">
        <v>21</v>
      </c>
      <c r="F1081" s="8">
        <v>2.3199999999999998</v>
      </c>
      <c r="G1081" s="4">
        <v>12</v>
      </c>
      <c r="H1081" s="8">
        <v>1.69</v>
      </c>
      <c r="I1081" s="4">
        <v>1</v>
      </c>
    </row>
    <row r="1082" spans="1:9" x14ac:dyDescent="0.2">
      <c r="A1082" s="2">
        <v>14</v>
      </c>
      <c r="B1082" s="1" t="s">
        <v>112</v>
      </c>
      <c r="C1082" s="4">
        <v>31</v>
      </c>
      <c r="D1082" s="8">
        <v>1.9</v>
      </c>
      <c r="E1082" s="4">
        <v>12</v>
      </c>
      <c r="F1082" s="8">
        <v>1.33</v>
      </c>
      <c r="G1082" s="4">
        <v>19</v>
      </c>
      <c r="H1082" s="8">
        <v>2.67</v>
      </c>
      <c r="I1082" s="4">
        <v>0</v>
      </c>
    </row>
    <row r="1083" spans="1:9" x14ac:dyDescent="0.2">
      <c r="A1083" s="2">
        <v>15</v>
      </c>
      <c r="B1083" s="1" t="s">
        <v>130</v>
      </c>
      <c r="C1083" s="4">
        <v>30</v>
      </c>
      <c r="D1083" s="8">
        <v>1.84</v>
      </c>
      <c r="E1083" s="4">
        <v>13</v>
      </c>
      <c r="F1083" s="8">
        <v>1.44</v>
      </c>
      <c r="G1083" s="4">
        <v>17</v>
      </c>
      <c r="H1083" s="8">
        <v>2.39</v>
      </c>
      <c r="I1083" s="4">
        <v>0</v>
      </c>
    </row>
    <row r="1084" spans="1:9" x14ac:dyDescent="0.2">
      <c r="A1084" s="2">
        <v>16</v>
      </c>
      <c r="B1084" s="1" t="s">
        <v>117</v>
      </c>
      <c r="C1084" s="4">
        <v>25</v>
      </c>
      <c r="D1084" s="8">
        <v>1.53</v>
      </c>
      <c r="E1084" s="4">
        <v>0</v>
      </c>
      <c r="F1084" s="8">
        <v>0</v>
      </c>
      <c r="G1084" s="4">
        <v>24</v>
      </c>
      <c r="H1084" s="8">
        <v>3.37</v>
      </c>
      <c r="I1084" s="4">
        <v>0</v>
      </c>
    </row>
    <row r="1085" spans="1:9" x14ac:dyDescent="0.2">
      <c r="A1085" s="2">
        <v>17</v>
      </c>
      <c r="B1085" s="1" t="s">
        <v>104</v>
      </c>
      <c r="C1085" s="4">
        <v>23</v>
      </c>
      <c r="D1085" s="8">
        <v>1.41</v>
      </c>
      <c r="E1085" s="4">
        <v>7</v>
      </c>
      <c r="F1085" s="8">
        <v>0.77</v>
      </c>
      <c r="G1085" s="4">
        <v>16</v>
      </c>
      <c r="H1085" s="8">
        <v>2.25</v>
      </c>
      <c r="I1085" s="4">
        <v>0</v>
      </c>
    </row>
    <row r="1086" spans="1:9" x14ac:dyDescent="0.2">
      <c r="A1086" s="2">
        <v>18</v>
      </c>
      <c r="B1086" s="1" t="s">
        <v>103</v>
      </c>
      <c r="C1086" s="4">
        <v>22</v>
      </c>
      <c r="D1086" s="8">
        <v>1.35</v>
      </c>
      <c r="E1086" s="4">
        <v>5</v>
      </c>
      <c r="F1086" s="8">
        <v>0.55000000000000004</v>
      </c>
      <c r="G1086" s="4">
        <v>17</v>
      </c>
      <c r="H1086" s="8">
        <v>2.39</v>
      </c>
      <c r="I1086" s="4">
        <v>0</v>
      </c>
    </row>
    <row r="1087" spans="1:9" x14ac:dyDescent="0.2">
      <c r="A1087" s="2">
        <v>19</v>
      </c>
      <c r="B1087" s="1" t="s">
        <v>109</v>
      </c>
      <c r="C1087" s="4">
        <v>21</v>
      </c>
      <c r="D1087" s="8">
        <v>1.29</v>
      </c>
      <c r="E1087" s="4">
        <v>4</v>
      </c>
      <c r="F1087" s="8">
        <v>0.44</v>
      </c>
      <c r="G1087" s="4">
        <v>17</v>
      </c>
      <c r="H1087" s="8">
        <v>2.39</v>
      </c>
      <c r="I1087" s="4">
        <v>0</v>
      </c>
    </row>
    <row r="1088" spans="1:9" x14ac:dyDescent="0.2">
      <c r="A1088" s="2">
        <v>20</v>
      </c>
      <c r="B1088" s="1" t="s">
        <v>135</v>
      </c>
      <c r="C1088" s="4">
        <v>18</v>
      </c>
      <c r="D1088" s="8">
        <v>1.1000000000000001</v>
      </c>
      <c r="E1088" s="4">
        <v>4</v>
      </c>
      <c r="F1088" s="8">
        <v>0.44</v>
      </c>
      <c r="G1088" s="4">
        <v>14</v>
      </c>
      <c r="H1088" s="8">
        <v>1.97</v>
      </c>
      <c r="I1088" s="4">
        <v>0</v>
      </c>
    </row>
    <row r="1089" spans="1:9" x14ac:dyDescent="0.2">
      <c r="A1089" s="2">
        <v>20</v>
      </c>
      <c r="B1089" s="1" t="s">
        <v>143</v>
      </c>
      <c r="C1089" s="4">
        <v>18</v>
      </c>
      <c r="D1089" s="8">
        <v>1.1000000000000001</v>
      </c>
      <c r="E1089" s="4">
        <v>11</v>
      </c>
      <c r="F1089" s="8">
        <v>1.22</v>
      </c>
      <c r="G1089" s="4">
        <v>7</v>
      </c>
      <c r="H1089" s="8">
        <v>0.98</v>
      </c>
      <c r="I1089" s="4">
        <v>0</v>
      </c>
    </row>
    <row r="1090" spans="1:9" x14ac:dyDescent="0.2">
      <c r="A1090" s="2">
        <v>20</v>
      </c>
      <c r="B1090" s="1" t="s">
        <v>119</v>
      </c>
      <c r="C1090" s="4">
        <v>18</v>
      </c>
      <c r="D1090" s="8">
        <v>1.1000000000000001</v>
      </c>
      <c r="E1090" s="4">
        <v>2</v>
      </c>
      <c r="F1090" s="8">
        <v>0.22</v>
      </c>
      <c r="G1090" s="4">
        <v>16</v>
      </c>
      <c r="H1090" s="8">
        <v>2.25</v>
      </c>
      <c r="I1090" s="4">
        <v>0</v>
      </c>
    </row>
    <row r="1091" spans="1:9" x14ac:dyDescent="0.2">
      <c r="A1091" s="1"/>
      <c r="C1091" s="4"/>
      <c r="D1091" s="8"/>
      <c r="E1091" s="4"/>
      <c r="F1091" s="8"/>
      <c r="G1091" s="4"/>
      <c r="H1091" s="8"/>
      <c r="I1091" s="4"/>
    </row>
    <row r="1092" spans="1:9" x14ac:dyDescent="0.2">
      <c r="A1092" s="1" t="s">
        <v>49</v>
      </c>
      <c r="C1092" s="4"/>
      <c r="D1092" s="8"/>
      <c r="E1092" s="4"/>
      <c r="F1092" s="8"/>
      <c r="G1092" s="4"/>
      <c r="H1092" s="8"/>
      <c r="I1092" s="4"/>
    </row>
    <row r="1093" spans="1:9" x14ac:dyDescent="0.2">
      <c r="A1093" s="2">
        <v>1</v>
      </c>
      <c r="B1093" s="1" t="s">
        <v>110</v>
      </c>
      <c r="C1093" s="4">
        <v>337</v>
      </c>
      <c r="D1093" s="8">
        <v>12.05</v>
      </c>
      <c r="E1093" s="4">
        <v>134</v>
      </c>
      <c r="F1093" s="8">
        <v>9.1199999999999992</v>
      </c>
      <c r="G1093" s="4">
        <v>203</v>
      </c>
      <c r="H1093" s="8">
        <v>15.53</v>
      </c>
      <c r="I1093" s="4">
        <v>0</v>
      </c>
    </row>
    <row r="1094" spans="1:9" x14ac:dyDescent="0.2">
      <c r="A1094" s="2">
        <v>2</v>
      </c>
      <c r="B1094" s="1" t="s">
        <v>113</v>
      </c>
      <c r="C1094" s="4">
        <v>276</v>
      </c>
      <c r="D1094" s="8">
        <v>9.8699999999999992</v>
      </c>
      <c r="E1094" s="4">
        <v>258</v>
      </c>
      <c r="F1094" s="8">
        <v>17.559999999999999</v>
      </c>
      <c r="G1094" s="4">
        <v>18</v>
      </c>
      <c r="H1094" s="8">
        <v>1.38</v>
      </c>
      <c r="I1094" s="4">
        <v>0</v>
      </c>
    </row>
    <row r="1095" spans="1:9" x14ac:dyDescent="0.2">
      <c r="A1095" s="2">
        <v>3</v>
      </c>
      <c r="B1095" s="1" t="s">
        <v>114</v>
      </c>
      <c r="C1095" s="4">
        <v>212</v>
      </c>
      <c r="D1095" s="8">
        <v>7.58</v>
      </c>
      <c r="E1095" s="4">
        <v>199</v>
      </c>
      <c r="F1095" s="8">
        <v>13.55</v>
      </c>
      <c r="G1095" s="4">
        <v>13</v>
      </c>
      <c r="H1095" s="8">
        <v>0.99</v>
      </c>
      <c r="I1095" s="4">
        <v>0</v>
      </c>
    </row>
    <row r="1096" spans="1:9" x14ac:dyDescent="0.2">
      <c r="A1096" s="2">
        <v>4</v>
      </c>
      <c r="B1096" s="1" t="s">
        <v>108</v>
      </c>
      <c r="C1096" s="4">
        <v>145</v>
      </c>
      <c r="D1096" s="8">
        <v>5.18</v>
      </c>
      <c r="E1096" s="4">
        <v>96</v>
      </c>
      <c r="F1096" s="8">
        <v>6.54</v>
      </c>
      <c r="G1096" s="4">
        <v>49</v>
      </c>
      <c r="H1096" s="8">
        <v>3.75</v>
      </c>
      <c r="I1096" s="4">
        <v>0</v>
      </c>
    </row>
    <row r="1097" spans="1:9" x14ac:dyDescent="0.2">
      <c r="A1097" s="2">
        <v>5</v>
      </c>
      <c r="B1097" s="1" t="s">
        <v>98</v>
      </c>
      <c r="C1097" s="4">
        <v>132</v>
      </c>
      <c r="D1097" s="8">
        <v>4.72</v>
      </c>
      <c r="E1097" s="4">
        <v>30</v>
      </c>
      <c r="F1097" s="8">
        <v>2.04</v>
      </c>
      <c r="G1097" s="4">
        <v>102</v>
      </c>
      <c r="H1097" s="8">
        <v>7.8</v>
      </c>
      <c r="I1097" s="4">
        <v>0</v>
      </c>
    </row>
    <row r="1098" spans="1:9" x14ac:dyDescent="0.2">
      <c r="A1098" s="2">
        <v>5</v>
      </c>
      <c r="B1098" s="1" t="s">
        <v>99</v>
      </c>
      <c r="C1098" s="4">
        <v>132</v>
      </c>
      <c r="D1098" s="8">
        <v>4.72</v>
      </c>
      <c r="E1098" s="4">
        <v>39</v>
      </c>
      <c r="F1098" s="8">
        <v>2.65</v>
      </c>
      <c r="G1098" s="4">
        <v>93</v>
      </c>
      <c r="H1098" s="8">
        <v>7.12</v>
      </c>
      <c r="I1098" s="4">
        <v>0</v>
      </c>
    </row>
    <row r="1099" spans="1:9" x14ac:dyDescent="0.2">
      <c r="A1099" s="2">
        <v>7</v>
      </c>
      <c r="B1099" s="1" t="s">
        <v>100</v>
      </c>
      <c r="C1099" s="4">
        <v>114</v>
      </c>
      <c r="D1099" s="8">
        <v>4.08</v>
      </c>
      <c r="E1099" s="4">
        <v>23</v>
      </c>
      <c r="F1099" s="8">
        <v>1.57</v>
      </c>
      <c r="G1099" s="4">
        <v>91</v>
      </c>
      <c r="H1099" s="8">
        <v>6.96</v>
      </c>
      <c r="I1099" s="4">
        <v>0</v>
      </c>
    </row>
    <row r="1100" spans="1:9" x14ac:dyDescent="0.2">
      <c r="A1100" s="2">
        <v>8</v>
      </c>
      <c r="B1100" s="1" t="s">
        <v>101</v>
      </c>
      <c r="C1100" s="4">
        <v>112</v>
      </c>
      <c r="D1100" s="8">
        <v>4</v>
      </c>
      <c r="E1100" s="4">
        <v>46</v>
      </c>
      <c r="F1100" s="8">
        <v>3.13</v>
      </c>
      <c r="G1100" s="4">
        <v>66</v>
      </c>
      <c r="H1100" s="8">
        <v>5.05</v>
      </c>
      <c r="I1100" s="4">
        <v>0</v>
      </c>
    </row>
    <row r="1101" spans="1:9" x14ac:dyDescent="0.2">
      <c r="A1101" s="2">
        <v>9</v>
      </c>
      <c r="B1101" s="1" t="s">
        <v>116</v>
      </c>
      <c r="C1101" s="4">
        <v>97</v>
      </c>
      <c r="D1101" s="8">
        <v>3.47</v>
      </c>
      <c r="E1101" s="4">
        <v>85</v>
      </c>
      <c r="F1101" s="8">
        <v>5.79</v>
      </c>
      <c r="G1101" s="4">
        <v>12</v>
      </c>
      <c r="H1101" s="8">
        <v>0.92</v>
      </c>
      <c r="I1101" s="4">
        <v>0</v>
      </c>
    </row>
    <row r="1102" spans="1:9" x14ac:dyDescent="0.2">
      <c r="A1102" s="2">
        <v>10</v>
      </c>
      <c r="B1102" s="1" t="s">
        <v>107</v>
      </c>
      <c r="C1102" s="4">
        <v>95</v>
      </c>
      <c r="D1102" s="8">
        <v>3.4</v>
      </c>
      <c r="E1102" s="4">
        <v>57</v>
      </c>
      <c r="F1102" s="8">
        <v>3.88</v>
      </c>
      <c r="G1102" s="4">
        <v>37</v>
      </c>
      <c r="H1102" s="8">
        <v>2.83</v>
      </c>
      <c r="I1102" s="4">
        <v>1</v>
      </c>
    </row>
    <row r="1103" spans="1:9" x14ac:dyDescent="0.2">
      <c r="A1103" s="2">
        <v>11</v>
      </c>
      <c r="B1103" s="1" t="s">
        <v>106</v>
      </c>
      <c r="C1103" s="4">
        <v>90</v>
      </c>
      <c r="D1103" s="8">
        <v>3.22</v>
      </c>
      <c r="E1103" s="4">
        <v>71</v>
      </c>
      <c r="F1103" s="8">
        <v>4.83</v>
      </c>
      <c r="G1103" s="4">
        <v>19</v>
      </c>
      <c r="H1103" s="8">
        <v>1.45</v>
      </c>
      <c r="I1103" s="4">
        <v>0</v>
      </c>
    </row>
    <row r="1104" spans="1:9" x14ac:dyDescent="0.2">
      <c r="A1104" s="2">
        <v>12</v>
      </c>
      <c r="B1104" s="1" t="s">
        <v>115</v>
      </c>
      <c r="C1104" s="4">
        <v>82</v>
      </c>
      <c r="D1104" s="8">
        <v>2.93</v>
      </c>
      <c r="E1104" s="4">
        <v>54</v>
      </c>
      <c r="F1104" s="8">
        <v>3.68</v>
      </c>
      <c r="G1104" s="4">
        <v>23</v>
      </c>
      <c r="H1104" s="8">
        <v>1.76</v>
      </c>
      <c r="I1104" s="4">
        <v>0</v>
      </c>
    </row>
    <row r="1105" spans="1:9" x14ac:dyDescent="0.2">
      <c r="A1105" s="2">
        <v>13</v>
      </c>
      <c r="B1105" s="1" t="s">
        <v>117</v>
      </c>
      <c r="C1105" s="4">
        <v>53</v>
      </c>
      <c r="D1105" s="8">
        <v>1.89</v>
      </c>
      <c r="E1105" s="4">
        <v>0</v>
      </c>
      <c r="F1105" s="8">
        <v>0</v>
      </c>
      <c r="G1105" s="4">
        <v>40</v>
      </c>
      <c r="H1105" s="8">
        <v>3.06</v>
      </c>
      <c r="I1105" s="4">
        <v>0</v>
      </c>
    </row>
    <row r="1106" spans="1:9" x14ac:dyDescent="0.2">
      <c r="A1106" s="2">
        <v>14</v>
      </c>
      <c r="B1106" s="1" t="s">
        <v>134</v>
      </c>
      <c r="C1106" s="4">
        <v>45</v>
      </c>
      <c r="D1106" s="8">
        <v>1.61</v>
      </c>
      <c r="E1106" s="4">
        <v>22</v>
      </c>
      <c r="F1106" s="8">
        <v>1.5</v>
      </c>
      <c r="G1106" s="4">
        <v>23</v>
      </c>
      <c r="H1106" s="8">
        <v>1.76</v>
      </c>
      <c r="I1106" s="4">
        <v>0</v>
      </c>
    </row>
    <row r="1107" spans="1:9" x14ac:dyDescent="0.2">
      <c r="A1107" s="2">
        <v>15</v>
      </c>
      <c r="B1107" s="1" t="s">
        <v>105</v>
      </c>
      <c r="C1107" s="4">
        <v>44</v>
      </c>
      <c r="D1107" s="8">
        <v>1.57</v>
      </c>
      <c r="E1107" s="4">
        <v>36</v>
      </c>
      <c r="F1107" s="8">
        <v>2.4500000000000002</v>
      </c>
      <c r="G1107" s="4">
        <v>8</v>
      </c>
      <c r="H1107" s="8">
        <v>0.61</v>
      </c>
      <c r="I1107" s="4">
        <v>0</v>
      </c>
    </row>
    <row r="1108" spans="1:9" x14ac:dyDescent="0.2">
      <c r="A1108" s="2">
        <v>15</v>
      </c>
      <c r="B1108" s="1" t="s">
        <v>109</v>
      </c>
      <c r="C1108" s="4">
        <v>44</v>
      </c>
      <c r="D1108" s="8">
        <v>1.57</v>
      </c>
      <c r="E1108" s="4">
        <v>9</v>
      </c>
      <c r="F1108" s="8">
        <v>0.61</v>
      </c>
      <c r="G1108" s="4">
        <v>35</v>
      </c>
      <c r="H1108" s="8">
        <v>2.68</v>
      </c>
      <c r="I1108" s="4">
        <v>0</v>
      </c>
    </row>
    <row r="1109" spans="1:9" x14ac:dyDescent="0.2">
      <c r="A1109" s="2">
        <v>17</v>
      </c>
      <c r="B1109" s="1" t="s">
        <v>132</v>
      </c>
      <c r="C1109" s="4">
        <v>43</v>
      </c>
      <c r="D1109" s="8">
        <v>1.54</v>
      </c>
      <c r="E1109" s="4">
        <v>16</v>
      </c>
      <c r="F1109" s="8">
        <v>1.0900000000000001</v>
      </c>
      <c r="G1109" s="4">
        <v>27</v>
      </c>
      <c r="H1109" s="8">
        <v>2.0699999999999998</v>
      </c>
      <c r="I1109" s="4">
        <v>0</v>
      </c>
    </row>
    <row r="1110" spans="1:9" x14ac:dyDescent="0.2">
      <c r="A1110" s="2">
        <v>17</v>
      </c>
      <c r="B1110" s="1" t="s">
        <v>111</v>
      </c>
      <c r="C1110" s="4">
        <v>43</v>
      </c>
      <c r="D1110" s="8">
        <v>1.54</v>
      </c>
      <c r="E1110" s="4">
        <v>27</v>
      </c>
      <c r="F1110" s="8">
        <v>1.84</v>
      </c>
      <c r="G1110" s="4">
        <v>16</v>
      </c>
      <c r="H1110" s="8">
        <v>1.22</v>
      </c>
      <c r="I1110" s="4">
        <v>0</v>
      </c>
    </row>
    <row r="1111" spans="1:9" x14ac:dyDescent="0.2">
      <c r="A1111" s="2">
        <v>19</v>
      </c>
      <c r="B1111" s="1" t="s">
        <v>102</v>
      </c>
      <c r="C1111" s="4">
        <v>42</v>
      </c>
      <c r="D1111" s="8">
        <v>1.5</v>
      </c>
      <c r="E1111" s="4">
        <v>14</v>
      </c>
      <c r="F1111" s="8">
        <v>0.95</v>
      </c>
      <c r="G1111" s="4">
        <v>28</v>
      </c>
      <c r="H1111" s="8">
        <v>2.14</v>
      </c>
      <c r="I1111" s="4">
        <v>0</v>
      </c>
    </row>
    <row r="1112" spans="1:9" x14ac:dyDescent="0.2">
      <c r="A1112" s="2">
        <v>20</v>
      </c>
      <c r="B1112" s="1" t="s">
        <v>142</v>
      </c>
      <c r="C1112" s="4">
        <v>39</v>
      </c>
      <c r="D1112" s="8">
        <v>1.39</v>
      </c>
      <c r="E1112" s="4">
        <v>20</v>
      </c>
      <c r="F1112" s="8">
        <v>1.36</v>
      </c>
      <c r="G1112" s="4">
        <v>19</v>
      </c>
      <c r="H1112" s="8">
        <v>1.45</v>
      </c>
      <c r="I1112" s="4">
        <v>0</v>
      </c>
    </row>
    <row r="1113" spans="1:9" x14ac:dyDescent="0.2">
      <c r="A1113" s="1"/>
      <c r="C1113" s="4"/>
      <c r="D1113" s="8"/>
      <c r="E1113" s="4"/>
      <c r="F1113" s="8"/>
      <c r="G1113" s="4"/>
      <c r="H1113" s="8"/>
      <c r="I1113" s="4"/>
    </row>
    <row r="1114" spans="1:9" x14ac:dyDescent="0.2">
      <c r="A1114" s="1" t="s">
        <v>50</v>
      </c>
      <c r="C1114" s="4"/>
      <c r="D1114" s="8"/>
      <c r="E1114" s="4"/>
      <c r="F1114" s="8"/>
      <c r="G1114" s="4"/>
      <c r="H1114" s="8"/>
      <c r="I1114" s="4"/>
    </row>
    <row r="1115" spans="1:9" x14ac:dyDescent="0.2">
      <c r="A1115" s="2">
        <v>1</v>
      </c>
      <c r="B1115" s="1" t="s">
        <v>110</v>
      </c>
      <c r="C1115" s="4">
        <v>426</v>
      </c>
      <c r="D1115" s="8">
        <v>17.2</v>
      </c>
      <c r="E1115" s="4">
        <v>225</v>
      </c>
      <c r="F1115" s="8">
        <v>19.02</v>
      </c>
      <c r="G1115" s="4">
        <v>201</v>
      </c>
      <c r="H1115" s="8">
        <v>15.58</v>
      </c>
      <c r="I1115" s="4">
        <v>0</v>
      </c>
    </row>
    <row r="1116" spans="1:9" x14ac:dyDescent="0.2">
      <c r="A1116" s="2">
        <v>2</v>
      </c>
      <c r="B1116" s="1" t="s">
        <v>113</v>
      </c>
      <c r="C1116" s="4">
        <v>227</v>
      </c>
      <c r="D1116" s="8">
        <v>9.16</v>
      </c>
      <c r="E1116" s="4">
        <v>210</v>
      </c>
      <c r="F1116" s="8">
        <v>17.75</v>
      </c>
      <c r="G1116" s="4">
        <v>17</v>
      </c>
      <c r="H1116" s="8">
        <v>1.32</v>
      </c>
      <c r="I1116" s="4">
        <v>0</v>
      </c>
    </row>
    <row r="1117" spans="1:9" x14ac:dyDescent="0.2">
      <c r="A1117" s="2">
        <v>3</v>
      </c>
      <c r="B1117" s="1" t="s">
        <v>114</v>
      </c>
      <c r="C1117" s="4">
        <v>185</v>
      </c>
      <c r="D1117" s="8">
        <v>7.47</v>
      </c>
      <c r="E1117" s="4">
        <v>157</v>
      </c>
      <c r="F1117" s="8">
        <v>13.27</v>
      </c>
      <c r="G1117" s="4">
        <v>28</v>
      </c>
      <c r="H1117" s="8">
        <v>2.17</v>
      </c>
      <c r="I1117" s="4">
        <v>0</v>
      </c>
    </row>
    <row r="1118" spans="1:9" x14ac:dyDescent="0.2">
      <c r="A1118" s="2">
        <v>4</v>
      </c>
      <c r="B1118" s="1" t="s">
        <v>98</v>
      </c>
      <c r="C1118" s="4">
        <v>122</v>
      </c>
      <c r="D1118" s="8">
        <v>4.93</v>
      </c>
      <c r="E1118" s="4">
        <v>23</v>
      </c>
      <c r="F1118" s="8">
        <v>1.94</v>
      </c>
      <c r="G1118" s="4">
        <v>99</v>
      </c>
      <c r="H1118" s="8">
        <v>7.67</v>
      </c>
      <c r="I1118" s="4">
        <v>0</v>
      </c>
    </row>
    <row r="1119" spans="1:9" x14ac:dyDescent="0.2">
      <c r="A1119" s="2">
        <v>5</v>
      </c>
      <c r="B1119" s="1" t="s">
        <v>108</v>
      </c>
      <c r="C1119" s="4">
        <v>120</v>
      </c>
      <c r="D1119" s="8">
        <v>4.84</v>
      </c>
      <c r="E1119" s="4">
        <v>71</v>
      </c>
      <c r="F1119" s="8">
        <v>6</v>
      </c>
      <c r="G1119" s="4">
        <v>49</v>
      </c>
      <c r="H1119" s="8">
        <v>3.8</v>
      </c>
      <c r="I1119" s="4">
        <v>0</v>
      </c>
    </row>
    <row r="1120" spans="1:9" x14ac:dyDescent="0.2">
      <c r="A1120" s="2">
        <v>6</v>
      </c>
      <c r="B1120" s="1" t="s">
        <v>101</v>
      </c>
      <c r="C1120" s="4">
        <v>117</v>
      </c>
      <c r="D1120" s="8">
        <v>4.72</v>
      </c>
      <c r="E1120" s="4">
        <v>31</v>
      </c>
      <c r="F1120" s="8">
        <v>2.62</v>
      </c>
      <c r="G1120" s="4">
        <v>86</v>
      </c>
      <c r="H1120" s="8">
        <v>6.67</v>
      </c>
      <c r="I1120" s="4">
        <v>0</v>
      </c>
    </row>
    <row r="1121" spans="1:9" x14ac:dyDescent="0.2">
      <c r="A1121" s="2">
        <v>7</v>
      </c>
      <c r="B1121" s="1" t="s">
        <v>99</v>
      </c>
      <c r="C1121" s="4">
        <v>102</v>
      </c>
      <c r="D1121" s="8">
        <v>4.12</v>
      </c>
      <c r="E1121" s="4">
        <v>26</v>
      </c>
      <c r="F1121" s="8">
        <v>2.2000000000000002</v>
      </c>
      <c r="G1121" s="4">
        <v>76</v>
      </c>
      <c r="H1121" s="8">
        <v>5.89</v>
      </c>
      <c r="I1121" s="4">
        <v>0</v>
      </c>
    </row>
    <row r="1122" spans="1:9" x14ac:dyDescent="0.2">
      <c r="A1122" s="2">
        <v>8</v>
      </c>
      <c r="B1122" s="1" t="s">
        <v>100</v>
      </c>
      <c r="C1122" s="4">
        <v>83</v>
      </c>
      <c r="D1122" s="8">
        <v>3.35</v>
      </c>
      <c r="E1122" s="4">
        <v>21</v>
      </c>
      <c r="F1122" s="8">
        <v>1.78</v>
      </c>
      <c r="G1122" s="4">
        <v>62</v>
      </c>
      <c r="H1122" s="8">
        <v>4.8099999999999996</v>
      </c>
      <c r="I1122" s="4">
        <v>0</v>
      </c>
    </row>
    <row r="1123" spans="1:9" x14ac:dyDescent="0.2">
      <c r="A1123" s="2">
        <v>9</v>
      </c>
      <c r="B1123" s="1" t="s">
        <v>116</v>
      </c>
      <c r="C1123" s="4">
        <v>77</v>
      </c>
      <c r="D1123" s="8">
        <v>3.11</v>
      </c>
      <c r="E1123" s="4">
        <v>63</v>
      </c>
      <c r="F1123" s="8">
        <v>5.33</v>
      </c>
      <c r="G1123" s="4">
        <v>14</v>
      </c>
      <c r="H1123" s="8">
        <v>1.0900000000000001</v>
      </c>
      <c r="I1123" s="4">
        <v>0</v>
      </c>
    </row>
    <row r="1124" spans="1:9" x14ac:dyDescent="0.2">
      <c r="A1124" s="2">
        <v>10</v>
      </c>
      <c r="B1124" s="1" t="s">
        <v>127</v>
      </c>
      <c r="C1124" s="4">
        <v>72</v>
      </c>
      <c r="D1124" s="8">
        <v>2.91</v>
      </c>
      <c r="E1124" s="4">
        <v>15</v>
      </c>
      <c r="F1124" s="8">
        <v>1.27</v>
      </c>
      <c r="G1124" s="4">
        <v>57</v>
      </c>
      <c r="H1124" s="8">
        <v>4.42</v>
      </c>
      <c r="I1124" s="4">
        <v>0</v>
      </c>
    </row>
    <row r="1125" spans="1:9" x14ac:dyDescent="0.2">
      <c r="A1125" s="2">
        <v>11</v>
      </c>
      <c r="B1125" s="1" t="s">
        <v>106</v>
      </c>
      <c r="C1125" s="4">
        <v>71</v>
      </c>
      <c r="D1125" s="8">
        <v>2.87</v>
      </c>
      <c r="E1125" s="4">
        <v>48</v>
      </c>
      <c r="F1125" s="8">
        <v>4.0599999999999996</v>
      </c>
      <c r="G1125" s="4">
        <v>23</v>
      </c>
      <c r="H1125" s="8">
        <v>1.78</v>
      </c>
      <c r="I1125" s="4">
        <v>0</v>
      </c>
    </row>
    <row r="1126" spans="1:9" x14ac:dyDescent="0.2">
      <c r="A1126" s="2">
        <v>12</v>
      </c>
      <c r="B1126" s="1" t="s">
        <v>107</v>
      </c>
      <c r="C1126" s="4">
        <v>65</v>
      </c>
      <c r="D1126" s="8">
        <v>2.62</v>
      </c>
      <c r="E1126" s="4">
        <v>40</v>
      </c>
      <c r="F1126" s="8">
        <v>3.38</v>
      </c>
      <c r="G1126" s="4">
        <v>25</v>
      </c>
      <c r="H1126" s="8">
        <v>1.94</v>
      </c>
      <c r="I1126" s="4">
        <v>0</v>
      </c>
    </row>
    <row r="1127" spans="1:9" x14ac:dyDescent="0.2">
      <c r="A1127" s="2">
        <v>13</v>
      </c>
      <c r="B1127" s="1" t="s">
        <v>115</v>
      </c>
      <c r="C1127" s="4">
        <v>50</v>
      </c>
      <c r="D1127" s="8">
        <v>2.02</v>
      </c>
      <c r="E1127" s="4">
        <v>30</v>
      </c>
      <c r="F1127" s="8">
        <v>2.54</v>
      </c>
      <c r="G1127" s="4">
        <v>20</v>
      </c>
      <c r="H1127" s="8">
        <v>1.55</v>
      </c>
      <c r="I1127" s="4">
        <v>0</v>
      </c>
    </row>
    <row r="1128" spans="1:9" x14ac:dyDescent="0.2">
      <c r="A1128" s="2">
        <v>14</v>
      </c>
      <c r="B1128" s="1" t="s">
        <v>126</v>
      </c>
      <c r="C1128" s="4">
        <v>45</v>
      </c>
      <c r="D1128" s="8">
        <v>1.82</v>
      </c>
      <c r="E1128" s="4">
        <v>16</v>
      </c>
      <c r="F1128" s="8">
        <v>1.35</v>
      </c>
      <c r="G1128" s="4">
        <v>29</v>
      </c>
      <c r="H1128" s="8">
        <v>2.25</v>
      </c>
      <c r="I1128" s="4">
        <v>0</v>
      </c>
    </row>
    <row r="1129" spans="1:9" x14ac:dyDescent="0.2">
      <c r="A1129" s="2">
        <v>15</v>
      </c>
      <c r="B1129" s="1" t="s">
        <v>109</v>
      </c>
      <c r="C1129" s="4">
        <v>44</v>
      </c>
      <c r="D1129" s="8">
        <v>1.78</v>
      </c>
      <c r="E1129" s="4">
        <v>4</v>
      </c>
      <c r="F1129" s="8">
        <v>0.34</v>
      </c>
      <c r="G1129" s="4">
        <v>40</v>
      </c>
      <c r="H1129" s="8">
        <v>3.1</v>
      </c>
      <c r="I1129" s="4">
        <v>0</v>
      </c>
    </row>
    <row r="1130" spans="1:9" x14ac:dyDescent="0.2">
      <c r="A1130" s="2">
        <v>16</v>
      </c>
      <c r="B1130" s="1" t="s">
        <v>105</v>
      </c>
      <c r="C1130" s="4">
        <v>42</v>
      </c>
      <c r="D1130" s="8">
        <v>1.7</v>
      </c>
      <c r="E1130" s="4">
        <v>17</v>
      </c>
      <c r="F1130" s="8">
        <v>1.44</v>
      </c>
      <c r="G1130" s="4">
        <v>25</v>
      </c>
      <c r="H1130" s="8">
        <v>1.94</v>
      </c>
      <c r="I1130" s="4">
        <v>0</v>
      </c>
    </row>
    <row r="1131" spans="1:9" x14ac:dyDescent="0.2">
      <c r="A1131" s="2">
        <v>17</v>
      </c>
      <c r="B1131" s="1" t="s">
        <v>102</v>
      </c>
      <c r="C1131" s="4">
        <v>39</v>
      </c>
      <c r="D1131" s="8">
        <v>1.57</v>
      </c>
      <c r="E1131" s="4">
        <v>9</v>
      </c>
      <c r="F1131" s="8">
        <v>0.76</v>
      </c>
      <c r="G1131" s="4">
        <v>30</v>
      </c>
      <c r="H1131" s="8">
        <v>2.33</v>
      </c>
      <c r="I1131" s="4">
        <v>0</v>
      </c>
    </row>
    <row r="1132" spans="1:9" x14ac:dyDescent="0.2">
      <c r="A1132" s="2">
        <v>18</v>
      </c>
      <c r="B1132" s="1" t="s">
        <v>130</v>
      </c>
      <c r="C1132" s="4">
        <v>36</v>
      </c>
      <c r="D1132" s="8">
        <v>1.45</v>
      </c>
      <c r="E1132" s="4">
        <v>11</v>
      </c>
      <c r="F1132" s="8">
        <v>0.93</v>
      </c>
      <c r="G1132" s="4">
        <v>24</v>
      </c>
      <c r="H1132" s="8">
        <v>1.86</v>
      </c>
      <c r="I1132" s="4">
        <v>1</v>
      </c>
    </row>
    <row r="1133" spans="1:9" x14ac:dyDescent="0.2">
      <c r="A1133" s="2">
        <v>19</v>
      </c>
      <c r="B1133" s="1" t="s">
        <v>111</v>
      </c>
      <c r="C1133" s="4">
        <v>31</v>
      </c>
      <c r="D1133" s="8">
        <v>1.25</v>
      </c>
      <c r="E1133" s="4">
        <v>15</v>
      </c>
      <c r="F1133" s="8">
        <v>1.27</v>
      </c>
      <c r="G1133" s="4">
        <v>16</v>
      </c>
      <c r="H1133" s="8">
        <v>1.24</v>
      </c>
      <c r="I1133" s="4">
        <v>0</v>
      </c>
    </row>
    <row r="1134" spans="1:9" x14ac:dyDescent="0.2">
      <c r="A1134" s="2">
        <v>20</v>
      </c>
      <c r="B1134" s="1" t="s">
        <v>129</v>
      </c>
      <c r="C1134" s="4">
        <v>30</v>
      </c>
      <c r="D1134" s="8">
        <v>1.21</v>
      </c>
      <c r="E1134" s="4">
        <v>19</v>
      </c>
      <c r="F1134" s="8">
        <v>1.61</v>
      </c>
      <c r="G1134" s="4">
        <v>11</v>
      </c>
      <c r="H1134" s="8">
        <v>0.85</v>
      </c>
      <c r="I1134" s="4">
        <v>0</v>
      </c>
    </row>
    <row r="1135" spans="1:9" x14ac:dyDescent="0.2">
      <c r="A1135" s="1"/>
      <c r="C1135" s="4"/>
      <c r="D1135" s="8"/>
      <c r="E1135" s="4"/>
      <c r="F1135" s="8"/>
      <c r="G1135" s="4"/>
      <c r="H1135" s="8"/>
      <c r="I1135" s="4"/>
    </row>
    <row r="1136" spans="1:9" x14ac:dyDescent="0.2">
      <c r="A1136" s="1" t="s">
        <v>51</v>
      </c>
      <c r="C1136" s="4"/>
      <c r="D1136" s="8"/>
      <c r="E1136" s="4"/>
      <c r="F1136" s="8"/>
      <c r="G1136" s="4"/>
      <c r="H1136" s="8"/>
      <c r="I1136" s="4"/>
    </row>
    <row r="1137" spans="1:9" x14ac:dyDescent="0.2">
      <c r="A1137" s="2">
        <v>1</v>
      </c>
      <c r="B1137" s="1" t="s">
        <v>110</v>
      </c>
      <c r="C1137" s="4">
        <v>313</v>
      </c>
      <c r="D1137" s="8">
        <v>9.17</v>
      </c>
      <c r="E1137" s="4">
        <v>144</v>
      </c>
      <c r="F1137" s="8">
        <v>7.48</v>
      </c>
      <c r="G1137" s="4">
        <v>168</v>
      </c>
      <c r="H1137" s="8">
        <v>11.34</v>
      </c>
      <c r="I1137" s="4">
        <v>0</v>
      </c>
    </row>
    <row r="1138" spans="1:9" x14ac:dyDescent="0.2">
      <c r="A1138" s="2">
        <v>2</v>
      </c>
      <c r="B1138" s="1" t="s">
        <v>113</v>
      </c>
      <c r="C1138" s="4">
        <v>308</v>
      </c>
      <c r="D1138" s="8">
        <v>9.02</v>
      </c>
      <c r="E1138" s="4">
        <v>289</v>
      </c>
      <c r="F1138" s="8">
        <v>15.02</v>
      </c>
      <c r="G1138" s="4">
        <v>19</v>
      </c>
      <c r="H1138" s="8">
        <v>1.28</v>
      </c>
      <c r="I1138" s="4">
        <v>0</v>
      </c>
    </row>
    <row r="1139" spans="1:9" x14ac:dyDescent="0.2">
      <c r="A1139" s="2">
        <v>2</v>
      </c>
      <c r="B1139" s="1" t="s">
        <v>114</v>
      </c>
      <c r="C1139" s="4">
        <v>308</v>
      </c>
      <c r="D1139" s="8">
        <v>9.02</v>
      </c>
      <c r="E1139" s="4">
        <v>272</v>
      </c>
      <c r="F1139" s="8">
        <v>14.14</v>
      </c>
      <c r="G1139" s="4">
        <v>36</v>
      </c>
      <c r="H1139" s="8">
        <v>2.4300000000000002</v>
      </c>
      <c r="I1139" s="4">
        <v>0</v>
      </c>
    </row>
    <row r="1140" spans="1:9" x14ac:dyDescent="0.2">
      <c r="A1140" s="2">
        <v>4</v>
      </c>
      <c r="B1140" s="1" t="s">
        <v>108</v>
      </c>
      <c r="C1140" s="4">
        <v>214</v>
      </c>
      <c r="D1140" s="8">
        <v>6.27</v>
      </c>
      <c r="E1140" s="4">
        <v>124</v>
      </c>
      <c r="F1140" s="8">
        <v>6.44</v>
      </c>
      <c r="G1140" s="4">
        <v>90</v>
      </c>
      <c r="H1140" s="8">
        <v>6.07</v>
      </c>
      <c r="I1140" s="4">
        <v>0</v>
      </c>
    </row>
    <row r="1141" spans="1:9" x14ac:dyDescent="0.2">
      <c r="A1141" s="2">
        <v>5</v>
      </c>
      <c r="B1141" s="1" t="s">
        <v>98</v>
      </c>
      <c r="C1141" s="4">
        <v>203</v>
      </c>
      <c r="D1141" s="8">
        <v>5.94</v>
      </c>
      <c r="E1141" s="4">
        <v>44</v>
      </c>
      <c r="F1141" s="8">
        <v>2.29</v>
      </c>
      <c r="G1141" s="4">
        <v>159</v>
      </c>
      <c r="H1141" s="8">
        <v>10.73</v>
      </c>
      <c r="I1141" s="4">
        <v>0</v>
      </c>
    </row>
    <row r="1142" spans="1:9" x14ac:dyDescent="0.2">
      <c r="A1142" s="2">
        <v>6</v>
      </c>
      <c r="B1142" s="1" t="s">
        <v>120</v>
      </c>
      <c r="C1142" s="4">
        <v>150</v>
      </c>
      <c r="D1142" s="8">
        <v>4.3899999999999997</v>
      </c>
      <c r="E1142" s="4">
        <v>108</v>
      </c>
      <c r="F1142" s="8">
        <v>5.61</v>
      </c>
      <c r="G1142" s="4">
        <v>42</v>
      </c>
      <c r="H1142" s="8">
        <v>2.83</v>
      </c>
      <c r="I1142" s="4">
        <v>0</v>
      </c>
    </row>
    <row r="1143" spans="1:9" x14ac:dyDescent="0.2">
      <c r="A1143" s="2">
        <v>7</v>
      </c>
      <c r="B1143" s="1" t="s">
        <v>115</v>
      </c>
      <c r="C1143" s="4">
        <v>147</v>
      </c>
      <c r="D1143" s="8">
        <v>4.3</v>
      </c>
      <c r="E1143" s="4">
        <v>108</v>
      </c>
      <c r="F1143" s="8">
        <v>5.61</v>
      </c>
      <c r="G1143" s="4">
        <v>35</v>
      </c>
      <c r="H1143" s="8">
        <v>2.36</v>
      </c>
      <c r="I1143" s="4">
        <v>1</v>
      </c>
    </row>
    <row r="1144" spans="1:9" x14ac:dyDescent="0.2">
      <c r="A1144" s="2">
        <v>8</v>
      </c>
      <c r="B1144" s="1" t="s">
        <v>116</v>
      </c>
      <c r="C1144" s="4">
        <v>137</v>
      </c>
      <c r="D1144" s="8">
        <v>4.01</v>
      </c>
      <c r="E1144" s="4">
        <v>122</v>
      </c>
      <c r="F1144" s="8">
        <v>6.34</v>
      </c>
      <c r="G1144" s="4">
        <v>15</v>
      </c>
      <c r="H1144" s="8">
        <v>1.01</v>
      </c>
      <c r="I1144" s="4">
        <v>0</v>
      </c>
    </row>
    <row r="1145" spans="1:9" x14ac:dyDescent="0.2">
      <c r="A1145" s="2">
        <v>9</v>
      </c>
      <c r="B1145" s="1" t="s">
        <v>100</v>
      </c>
      <c r="C1145" s="4">
        <v>129</v>
      </c>
      <c r="D1145" s="8">
        <v>3.78</v>
      </c>
      <c r="E1145" s="4">
        <v>37</v>
      </c>
      <c r="F1145" s="8">
        <v>1.92</v>
      </c>
      <c r="G1145" s="4">
        <v>92</v>
      </c>
      <c r="H1145" s="8">
        <v>6.21</v>
      </c>
      <c r="I1145" s="4">
        <v>0</v>
      </c>
    </row>
    <row r="1146" spans="1:9" x14ac:dyDescent="0.2">
      <c r="A1146" s="2">
        <v>10</v>
      </c>
      <c r="B1146" s="1" t="s">
        <v>107</v>
      </c>
      <c r="C1146" s="4">
        <v>128</v>
      </c>
      <c r="D1146" s="8">
        <v>3.75</v>
      </c>
      <c r="E1146" s="4">
        <v>81</v>
      </c>
      <c r="F1146" s="8">
        <v>4.21</v>
      </c>
      <c r="G1146" s="4">
        <v>47</v>
      </c>
      <c r="H1146" s="8">
        <v>3.17</v>
      </c>
      <c r="I1146" s="4">
        <v>0</v>
      </c>
    </row>
    <row r="1147" spans="1:9" x14ac:dyDescent="0.2">
      <c r="A1147" s="2">
        <v>11</v>
      </c>
      <c r="B1147" s="1" t="s">
        <v>106</v>
      </c>
      <c r="C1147" s="4">
        <v>114</v>
      </c>
      <c r="D1147" s="8">
        <v>3.34</v>
      </c>
      <c r="E1147" s="4">
        <v>96</v>
      </c>
      <c r="F1147" s="8">
        <v>4.99</v>
      </c>
      <c r="G1147" s="4">
        <v>18</v>
      </c>
      <c r="H1147" s="8">
        <v>1.21</v>
      </c>
      <c r="I1147" s="4">
        <v>0</v>
      </c>
    </row>
    <row r="1148" spans="1:9" x14ac:dyDescent="0.2">
      <c r="A1148" s="2">
        <v>12</v>
      </c>
      <c r="B1148" s="1" t="s">
        <v>99</v>
      </c>
      <c r="C1148" s="4">
        <v>110</v>
      </c>
      <c r="D1148" s="8">
        <v>3.22</v>
      </c>
      <c r="E1148" s="4">
        <v>38</v>
      </c>
      <c r="F1148" s="8">
        <v>1.98</v>
      </c>
      <c r="G1148" s="4">
        <v>72</v>
      </c>
      <c r="H1148" s="8">
        <v>4.8600000000000003</v>
      </c>
      <c r="I1148" s="4">
        <v>0</v>
      </c>
    </row>
    <row r="1149" spans="1:9" x14ac:dyDescent="0.2">
      <c r="A1149" s="2">
        <v>13</v>
      </c>
      <c r="B1149" s="1" t="s">
        <v>111</v>
      </c>
      <c r="C1149" s="4">
        <v>80</v>
      </c>
      <c r="D1149" s="8">
        <v>2.34</v>
      </c>
      <c r="E1149" s="4">
        <v>51</v>
      </c>
      <c r="F1149" s="8">
        <v>2.65</v>
      </c>
      <c r="G1149" s="4">
        <v>29</v>
      </c>
      <c r="H1149" s="8">
        <v>1.96</v>
      </c>
      <c r="I1149" s="4">
        <v>0</v>
      </c>
    </row>
    <row r="1150" spans="1:9" x14ac:dyDescent="0.2">
      <c r="A1150" s="2">
        <v>14</v>
      </c>
      <c r="B1150" s="1" t="s">
        <v>105</v>
      </c>
      <c r="C1150" s="4">
        <v>78</v>
      </c>
      <c r="D1150" s="8">
        <v>2.2799999999999998</v>
      </c>
      <c r="E1150" s="4">
        <v>34</v>
      </c>
      <c r="F1150" s="8">
        <v>1.77</v>
      </c>
      <c r="G1150" s="4">
        <v>44</v>
      </c>
      <c r="H1150" s="8">
        <v>2.97</v>
      </c>
      <c r="I1150" s="4">
        <v>0</v>
      </c>
    </row>
    <row r="1151" spans="1:9" x14ac:dyDescent="0.2">
      <c r="A1151" s="2">
        <v>15</v>
      </c>
      <c r="B1151" s="1" t="s">
        <v>129</v>
      </c>
      <c r="C1151" s="4">
        <v>63</v>
      </c>
      <c r="D1151" s="8">
        <v>1.84</v>
      </c>
      <c r="E1151" s="4">
        <v>52</v>
      </c>
      <c r="F1151" s="8">
        <v>2.7</v>
      </c>
      <c r="G1151" s="4">
        <v>11</v>
      </c>
      <c r="H1151" s="8">
        <v>0.74</v>
      </c>
      <c r="I1151" s="4">
        <v>0</v>
      </c>
    </row>
    <row r="1152" spans="1:9" x14ac:dyDescent="0.2">
      <c r="A1152" s="2">
        <v>16</v>
      </c>
      <c r="B1152" s="1" t="s">
        <v>101</v>
      </c>
      <c r="C1152" s="4">
        <v>61</v>
      </c>
      <c r="D1152" s="8">
        <v>1.79</v>
      </c>
      <c r="E1152" s="4">
        <v>32</v>
      </c>
      <c r="F1152" s="8">
        <v>1.66</v>
      </c>
      <c r="G1152" s="4">
        <v>29</v>
      </c>
      <c r="H1152" s="8">
        <v>1.96</v>
      </c>
      <c r="I1152" s="4">
        <v>0</v>
      </c>
    </row>
    <row r="1153" spans="1:9" x14ac:dyDescent="0.2">
      <c r="A1153" s="2">
        <v>17</v>
      </c>
      <c r="B1153" s="1" t="s">
        <v>104</v>
      </c>
      <c r="C1153" s="4">
        <v>57</v>
      </c>
      <c r="D1153" s="8">
        <v>1.67</v>
      </c>
      <c r="E1153" s="4">
        <v>8</v>
      </c>
      <c r="F1153" s="8">
        <v>0.42</v>
      </c>
      <c r="G1153" s="4">
        <v>48</v>
      </c>
      <c r="H1153" s="8">
        <v>3.24</v>
      </c>
      <c r="I1153" s="4">
        <v>1</v>
      </c>
    </row>
    <row r="1154" spans="1:9" x14ac:dyDescent="0.2">
      <c r="A1154" s="2">
        <v>18</v>
      </c>
      <c r="B1154" s="1" t="s">
        <v>109</v>
      </c>
      <c r="C1154" s="4">
        <v>49</v>
      </c>
      <c r="D1154" s="8">
        <v>1.43</v>
      </c>
      <c r="E1154" s="4">
        <v>6</v>
      </c>
      <c r="F1154" s="8">
        <v>0.31</v>
      </c>
      <c r="G1154" s="4">
        <v>43</v>
      </c>
      <c r="H1154" s="8">
        <v>2.9</v>
      </c>
      <c r="I1154" s="4">
        <v>0</v>
      </c>
    </row>
    <row r="1155" spans="1:9" x14ac:dyDescent="0.2">
      <c r="A1155" s="2">
        <v>19</v>
      </c>
      <c r="B1155" s="1" t="s">
        <v>117</v>
      </c>
      <c r="C1155" s="4">
        <v>46</v>
      </c>
      <c r="D1155" s="8">
        <v>1.35</v>
      </c>
      <c r="E1155" s="4">
        <v>1</v>
      </c>
      <c r="F1155" s="8">
        <v>0.05</v>
      </c>
      <c r="G1155" s="4">
        <v>42</v>
      </c>
      <c r="H1155" s="8">
        <v>2.83</v>
      </c>
      <c r="I1155" s="4">
        <v>0</v>
      </c>
    </row>
    <row r="1156" spans="1:9" x14ac:dyDescent="0.2">
      <c r="A1156" s="2">
        <v>20</v>
      </c>
      <c r="B1156" s="1" t="s">
        <v>130</v>
      </c>
      <c r="C1156" s="4">
        <v>44</v>
      </c>
      <c r="D1156" s="8">
        <v>1.29</v>
      </c>
      <c r="E1156" s="4">
        <v>25</v>
      </c>
      <c r="F1156" s="8">
        <v>1.3</v>
      </c>
      <c r="G1156" s="4">
        <v>19</v>
      </c>
      <c r="H1156" s="8">
        <v>1.28</v>
      </c>
      <c r="I1156" s="4">
        <v>0</v>
      </c>
    </row>
    <row r="1157" spans="1:9" x14ac:dyDescent="0.2">
      <c r="A1157" s="1"/>
      <c r="C1157" s="4"/>
      <c r="D1157" s="8"/>
      <c r="E1157" s="4"/>
      <c r="F1157" s="8"/>
      <c r="G1157" s="4"/>
      <c r="H1157" s="8"/>
      <c r="I1157" s="4"/>
    </row>
    <row r="1158" spans="1:9" x14ac:dyDescent="0.2">
      <c r="A1158" s="1" t="s">
        <v>52</v>
      </c>
      <c r="C1158" s="4"/>
      <c r="D1158" s="8"/>
      <c r="E1158" s="4"/>
      <c r="F1158" s="8"/>
      <c r="G1158" s="4"/>
      <c r="H1158" s="8"/>
      <c r="I1158" s="4"/>
    </row>
    <row r="1159" spans="1:9" x14ac:dyDescent="0.2">
      <c r="A1159" s="2">
        <v>1</v>
      </c>
      <c r="B1159" s="1" t="s">
        <v>110</v>
      </c>
      <c r="C1159" s="4">
        <v>430</v>
      </c>
      <c r="D1159" s="8">
        <v>18.739999999999998</v>
      </c>
      <c r="E1159" s="4">
        <v>85</v>
      </c>
      <c r="F1159" s="8">
        <v>9.65</v>
      </c>
      <c r="G1159" s="4">
        <v>343</v>
      </c>
      <c r="H1159" s="8">
        <v>24.34</v>
      </c>
      <c r="I1159" s="4">
        <v>2</v>
      </c>
    </row>
    <row r="1160" spans="1:9" x14ac:dyDescent="0.2">
      <c r="A1160" s="2">
        <v>2</v>
      </c>
      <c r="B1160" s="1" t="s">
        <v>114</v>
      </c>
      <c r="C1160" s="4">
        <v>188</v>
      </c>
      <c r="D1160" s="8">
        <v>8.19</v>
      </c>
      <c r="E1160" s="4">
        <v>155</v>
      </c>
      <c r="F1160" s="8">
        <v>17.59</v>
      </c>
      <c r="G1160" s="4">
        <v>32</v>
      </c>
      <c r="H1160" s="8">
        <v>2.27</v>
      </c>
      <c r="I1160" s="4">
        <v>1</v>
      </c>
    </row>
    <row r="1161" spans="1:9" x14ac:dyDescent="0.2">
      <c r="A1161" s="2">
        <v>3</v>
      </c>
      <c r="B1161" s="1" t="s">
        <v>113</v>
      </c>
      <c r="C1161" s="4">
        <v>181</v>
      </c>
      <c r="D1161" s="8">
        <v>7.89</v>
      </c>
      <c r="E1161" s="4">
        <v>148</v>
      </c>
      <c r="F1161" s="8">
        <v>16.8</v>
      </c>
      <c r="G1161" s="4">
        <v>33</v>
      </c>
      <c r="H1161" s="8">
        <v>2.34</v>
      </c>
      <c r="I1161" s="4">
        <v>0</v>
      </c>
    </row>
    <row r="1162" spans="1:9" x14ac:dyDescent="0.2">
      <c r="A1162" s="2">
        <v>4</v>
      </c>
      <c r="B1162" s="1" t="s">
        <v>98</v>
      </c>
      <c r="C1162" s="4">
        <v>121</v>
      </c>
      <c r="D1162" s="8">
        <v>5.27</v>
      </c>
      <c r="E1162" s="4">
        <v>16</v>
      </c>
      <c r="F1162" s="8">
        <v>1.82</v>
      </c>
      <c r="G1162" s="4">
        <v>105</v>
      </c>
      <c r="H1162" s="8">
        <v>7.45</v>
      </c>
      <c r="I1162" s="4">
        <v>0</v>
      </c>
    </row>
    <row r="1163" spans="1:9" x14ac:dyDescent="0.2">
      <c r="A1163" s="2">
        <v>4</v>
      </c>
      <c r="B1163" s="1" t="s">
        <v>108</v>
      </c>
      <c r="C1163" s="4">
        <v>121</v>
      </c>
      <c r="D1163" s="8">
        <v>5.27</v>
      </c>
      <c r="E1163" s="4">
        <v>60</v>
      </c>
      <c r="F1163" s="8">
        <v>6.81</v>
      </c>
      <c r="G1163" s="4">
        <v>61</v>
      </c>
      <c r="H1163" s="8">
        <v>4.33</v>
      </c>
      <c r="I1163" s="4">
        <v>0</v>
      </c>
    </row>
    <row r="1164" spans="1:9" x14ac:dyDescent="0.2">
      <c r="A1164" s="2">
        <v>6</v>
      </c>
      <c r="B1164" s="1" t="s">
        <v>116</v>
      </c>
      <c r="C1164" s="4">
        <v>97</v>
      </c>
      <c r="D1164" s="8">
        <v>4.2300000000000004</v>
      </c>
      <c r="E1164" s="4">
        <v>85</v>
      </c>
      <c r="F1164" s="8">
        <v>9.65</v>
      </c>
      <c r="G1164" s="4">
        <v>12</v>
      </c>
      <c r="H1164" s="8">
        <v>0.85</v>
      </c>
      <c r="I1164" s="4">
        <v>0</v>
      </c>
    </row>
    <row r="1165" spans="1:9" x14ac:dyDescent="0.2">
      <c r="A1165" s="2">
        <v>7</v>
      </c>
      <c r="B1165" s="1" t="s">
        <v>106</v>
      </c>
      <c r="C1165" s="4">
        <v>90</v>
      </c>
      <c r="D1165" s="8">
        <v>3.92</v>
      </c>
      <c r="E1165" s="4">
        <v>61</v>
      </c>
      <c r="F1165" s="8">
        <v>6.92</v>
      </c>
      <c r="G1165" s="4">
        <v>29</v>
      </c>
      <c r="H1165" s="8">
        <v>2.06</v>
      </c>
      <c r="I1165" s="4">
        <v>0</v>
      </c>
    </row>
    <row r="1166" spans="1:9" x14ac:dyDescent="0.2">
      <c r="A1166" s="2">
        <v>8</v>
      </c>
      <c r="B1166" s="1" t="s">
        <v>99</v>
      </c>
      <c r="C1166" s="4">
        <v>85</v>
      </c>
      <c r="D1166" s="8">
        <v>3.7</v>
      </c>
      <c r="E1166" s="4">
        <v>20</v>
      </c>
      <c r="F1166" s="8">
        <v>2.27</v>
      </c>
      <c r="G1166" s="4">
        <v>65</v>
      </c>
      <c r="H1166" s="8">
        <v>4.6100000000000003</v>
      </c>
      <c r="I1166" s="4">
        <v>0</v>
      </c>
    </row>
    <row r="1167" spans="1:9" x14ac:dyDescent="0.2">
      <c r="A1167" s="2">
        <v>9</v>
      </c>
      <c r="B1167" s="1" t="s">
        <v>111</v>
      </c>
      <c r="C1167" s="4">
        <v>80</v>
      </c>
      <c r="D1167" s="8">
        <v>3.49</v>
      </c>
      <c r="E1167" s="4">
        <v>31</v>
      </c>
      <c r="F1167" s="8">
        <v>3.52</v>
      </c>
      <c r="G1167" s="4">
        <v>49</v>
      </c>
      <c r="H1167" s="8">
        <v>3.48</v>
      </c>
      <c r="I1167" s="4">
        <v>0</v>
      </c>
    </row>
    <row r="1168" spans="1:9" x14ac:dyDescent="0.2">
      <c r="A1168" s="2">
        <v>10</v>
      </c>
      <c r="B1168" s="1" t="s">
        <v>115</v>
      </c>
      <c r="C1168" s="4">
        <v>75</v>
      </c>
      <c r="D1168" s="8">
        <v>3.27</v>
      </c>
      <c r="E1168" s="4">
        <v>52</v>
      </c>
      <c r="F1168" s="8">
        <v>5.9</v>
      </c>
      <c r="G1168" s="4">
        <v>21</v>
      </c>
      <c r="H1168" s="8">
        <v>1.49</v>
      </c>
      <c r="I1168" s="4">
        <v>0</v>
      </c>
    </row>
    <row r="1169" spans="1:9" x14ac:dyDescent="0.2">
      <c r="A1169" s="2">
        <v>11</v>
      </c>
      <c r="B1169" s="1" t="s">
        <v>100</v>
      </c>
      <c r="C1169" s="4">
        <v>69</v>
      </c>
      <c r="D1169" s="8">
        <v>3.01</v>
      </c>
      <c r="E1169" s="4">
        <v>14</v>
      </c>
      <c r="F1169" s="8">
        <v>1.59</v>
      </c>
      <c r="G1169" s="4">
        <v>55</v>
      </c>
      <c r="H1169" s="8">
        <v>3.9</v>
      </c>
      <c r="I1169" s="4">
        <v>0</v>
      </c>
    </row>
    <row r="1170" spans="1:9" x14ac:dyDescent="0.2">
      <c r="A1170" s="2">
        <v>11</v>
      </c>
      <c r="B1170" s="1" t="s">
        <v>107</v>
      </c>
      <c r="C1170" s="4">
        <v>69</v>
      </c>
      <c r="D1170" s="8">
        <v>3.01</v>
      </c>
      <c r="E1170" s="4">
        <v>23</v>
      </c>
      <c r="F1170" s="8">
        <v>2.61</v>
      </c>
      <c r="G1170" s="4">
        <v>46</v>
      </c>
      <c r="H1170" s="8">
        <v>3.26</v>
      </c>
      <c r="I1170" s="4">
        <v>0</v>
      </c>
    </row>
    <row r="1171" spans="1:9" x14ac:dyDescent="0.2">
      <c r="A1171" s="2">
        <v>13</v>
      </c>
      <c r="B1171" s="1" t="s">
        <v>105</v>
      </c>
      <c r="C1171" s="4">
        <v>56</v>
      </c>
      <c r="D1171" s="8">
        <v>2.44</v>
      </c>
      <c r="E1171" s="4">
        <v>35</v>
      </c>
      <c r="F1171" s="8">
        <v>3.97</v>
      </c>
      <c r="G1171" s="4">
        <v>21</v>
      </c>
      <c r="H1171" s="8">
        <v>1.49</v>
      </c>
      <c r="I1171" s="4">
        <v>0</v>
      </c>
    </row>
    <row r="1172" spans="1:9" x14ac:dyDescent="0.2">
      <c r="A1172" s="2">
        <v>14</v>
      </c>
      <c r="B1172" s="1" t="s">
        <v>109</v>
      </c>
      <c r="C1172" s="4">
        <v>52</v>
      </c>
      <c r="D1172" s="8">
        <v>2.27</v>
      </c>
      <c r="E1172" s="4">
        <v>6</v>
      </c>
      <c r="F1172" s="8">
        <v>0.68</v>
      </c>
      <c r="G1172" s="4">
        <v>46</v>
      </c>
      <c r="H1172" s="8">
        <v>3.26</v>
      </c>
      <c r="I1172" s="4">
        <v>0</v>
      </c>
    </row>
    <row r="1173" spans="1:9" x14ac:dyDescent="0.2">
      <c r="A1173" s="2">
        <v>15</v>
      </c>
      <c r="B1173" s="1" t="s">
        <v>104</v>
      </c>
      <c r="C1173" s="4">
        <v>43</v>
      </c>
      <c r="D1173" s="8">
        <v>1.87</v>
      </c>
      <c r="E1173" s="4">
        <v>7</v>
      </c>
      <c r="F1173" s="8">
        <v>0.79</v>
      </c>
      <c r="G1173" s="4">
        <v>36</v>
      </c>
      <c r="H1173" s="8">
        <v>2.56</v>
      </c>
      <c r="I1173" s="4">
        <v>0</v>
      </c>
    </row>
    <row r="1174" spans="1:9" x14ac:dyDescent="0.2">
      <c r="A1174" s="2">
        <v>15</v>
      </c>
      <c r="B1174" s="1" t="s">
        <v>112</v>
      </c>
      <c r="C1174" s="4">
        <v>43</v>
      </c>
      <c r="D1174" s="8">
        <v>1.87</v>
      </c>
      <c r="E1174" s="4">
        <v>12</v>
      </c>
      <c r="F1174" s="8">
        <v>1.36</v>
      </c>
      <c r="G1174" s="4">
        <v>31</v>
      </c>
      <c r="H1174" s="8">
        <v>2.2000000000000002</v>
      </c>
      <c r="I1174" s="4">
        <v>0</v>
      </c>
    </row>
    <row r="1175" spans="1:9" x14ac:dyDescent="0.2">
      <c r="A1175" s="2">
        <v>17</v>
      </c>
      <c r="B1175" s="1" t="s">
        <v>135</v>
      </c>
      <c r="C1175" s="4">
        <v>38</v>
      </c>
      <c r="D1175" s="8">
        <v>1.66</v>
      </c>
      <c r="E1175" s="4">
        <v>5</v>
      </c>
      <c r="F1175" s="8">
        <v>0.56999999999999995</v>
      </c>
      <c r="G1175" s="4">
        <v>33</v>
      </c>
      <c r="H1175" s="8">
        <v>2.34</v>
      </c>
      <c r="I1175" s="4">
        <v>0</v>
      </c>
    </row>
    <row r="1176" spans="1:9" x14ac:dyDescent="0.2">
      <c r="A1176" s="2">
        <v>18</v>
      </c>
      <c r="B1176" s="1" t="s">
        <v>102</v>
      </c>
      <c r="C1176" s="4">
        <v>37</v>
      </c>
      <c r="D1176" s="8">
        <v>1.61</v>
      </c>
      <c r="E1176" s="4">
        <v>1</v>
      </c>
      <c r="F1176" s="8">
        <v>0.11</v>
      </c>
      <c r="G1176" s="4">
        <v>36</v>
      </c>
      <c r="H1176" s="8">
        <v>2.56</v>
      </c>
      <c r="I1176" s="4">
        <v>0</v>
      </c>
    </row>
    <row r="1177" spans="1:9" x14ac:dyDescent="0.2">
      <c r="A1177" s="2">
        <v>19</v>
      </c>
      <c r="B1177" s="1" t="s">
        <v>103</v>
      </c>
      <c r="C1177" s="4">
        <v>36</v>
      </c>
      <c r="D1177" s="8">
        <v>1.57</v>
      </c>
      <c r="E1177" s="4">
        <v>4</v>
      </c>
      <c r="F1177" s="8">
        <v>0.45</v>
      </c>
      <c r="G1177" s="4">
        <v>32</v>
      </c>
      <c r="H1177" s="8">
        <v>2.27</v>
      </c>
      <c r="I1177" s="4">
        <v>0</v>
      </c>
    </row>
    <row r="1178" spans="1:9" x14ac:dyDescent="0.2">
      <c r="A1178" s="2">
        <v>19</v>
      </c>
      <c r="B1178" s="1" t="s">
        <v>117</v>
      </c>
      <c r="C1178" s="4">
        <v>36</v>
      </c>
      <c r="D1178" s="8">
        <v>1.57</v>
      </c>
      <c r="E1178" s="4">
        <v>1</v>
      </c>
      <c r="F1178" s="8">
        <v>0.11</v>
      </c>
      <c r="G1178" s="4">
        <v>35</v>
      </c>
      <c r="H1178" s="8">
        <v>2.48</v>
      </c>
      <c r="I1178" s="4">
        <v>0</v>
      </c>
    </row>
    <row r="1179" spans="1:9" x14ac:dyDescent="0.2">
      <c r="A1179" s="1"/>
      <c r="C1179" s="4"/>
      <c r="D1179" s="8"/>
      <c r="E1179" s="4"/>
      <c r="F1179" s="8"/>
      <c r="G1179" s="4"/>
      <c r="H1179" s="8"/>
      <c r="I1179" s="4"/>
    </row>
    <row r="1180" spans="1:9" x14ac:dyDescent="0.2">
      <c r="A1180" s="1" t="s">
        <v>53</v>
      </c>
      <c r="C1180" s="4"/>
      <c r="D1180" s="8"/>
      <c r="E1180" s="4"/>
      <c r="F1180" s="8"/>
      <c r="G1180" s="4"/>
      <c r="H1180" s="8"/>
      <c r="I1180" s="4"/>
    </row>
    <row r="1181" spans="1:9" x14ac:dyDescent="0.2">
      <c r="A1181" s="2">
        <v>1</v>
      </c>
      <c r="B1181" s="1" t="s">
        <v>110</v>
      </c>
      <c r="C1181" s="4">
        <v>154</v>
      </c>
      <c r="D1181" s="8">
        <v>11.27</v>
      </c>
      <c r="E1181" s="4">
        <v>61</v>
      </c>
      <c r="F1181" s="8">
        <v>8.58</v>
      </c>
      <c r="G1181" s="4">
        <v>92</v>
      </c>
      <c r="H1181" s="8">
        <v>14.24</v>
      </c>
      <c r="I1181" s="4">
        <v>1</v>
      </c>
    </row>
    <row r="1182" spans="1:9" x14ac:dyDescent="0.2">
      <c r="A1182" s="2">
        <v>2</v>
      </c>
      <c r="B1182" s="1" t="s">
        <v>114</v>
      </c>
      <c r="C1182" s="4">
        <v>123</v>
      </c>
      <c r="D1182" s="8">
        <v>9</v>
      </c>
      <c r="E1182" s="4">
        <v>108</v>
      </c>
      <c r="F1182" s="8">
        <v>15.19</v>
      </c>
      <c r="G1182" s="4">
        <v>15</v>
      </c>
      <c r="H1182" s="8">
        <v>2.3199999999999998</v>
      </c>
      <c r="I1182" s="4">
        <v>0</v>
      </c>
    </row>
    <row r="1183" spans="1:9" x14ac:dyDescent="0.2">
      <c r="A1183" s="2">
        <v>3</v>
      </c>
      <c r="B1183" s="1" t="s">
        <v>113</v>
      </c>
      <c r="C1183" s="4">
        <v>119</v>
      </c>
      <c r="D1183" s="8">
        <v>8.7100000000000009</v>
      </c>
      <c r="E1183" s="4">
        <v>101</v>
      </c>
      <c r="F1183" s="8">
        <v>14.21</v>
      </c>
      <c r="G1183" s="4">
        <v>18</v>
      </c>
      <c r="H1183" s="8">
        <v>2.79</v>
      </c>
      <c r="I1183" s="4">
        <v>0</v>
      </c>
    </row>
    <row r="1184" spans="1:9" x14ac:dyDescent="0.2">
      <c r="A1184" s="2">
        <v>4</v>
      </c>
      <c r="B1184" s="1" t="s">
        <v>108</v>
      </c>
      <c r="C1184" s="4">
        <v>86</v>
      </c>
      <c r="D1184" s="8">
        <v>6.29</v>
      </c>
      <c r="E1184" s="4">
        <v>57</v>
      </c>
      <c r="F1184" s="8">
        <v>8.02</v>
      </c>
      <c r="G1184" s="4">
        <v>29</v>
      </c>
      <c r="H1184" s="8">
        <v>4.49</v>
      </c>
      <c r="I1184" s="4">
        <v>0</v>
      </c>
    </row>
    <row r="1185" spans="1:9" x14ac:dyDescent="0.2">
      <c r="A1185" s="2">
        <v>5</v>
      </c>
      <c r="B1185" s="1" t="s">
        <v>98</v>
      </c>
      <c r="C1185" s="4">
        <v>78</v>
      </c>
      <c r="D1185" s="8">
        <v>5.71</v>
      </c>
      <c r="E1185" s="4">
        <v>17</v>
      </c>
      <c r="F1185" s="8">
        <v>2.39</v>
      </c>
      <c r="G1185" s="4">
        <v>61</v>
      </c>
      <c r="H1185" s="8">
        <v>9.44</v>
      </c>
      <c r="I1185" s="4">
        <v>0</v>
      </c>
    </row>
    <row r="1186" spans="1:9" x14ac:dyDescent="0.2">
      <c r="A1186" s="2">
        <v>6</v>
      </c>
      <c r="B1186" s="1" t="s">
        <v>106</v>
      </c>
      <c r="C1186" s="4">
        <v>67</v>
      </c>
      <c r="D1186" s="8">
        <v>4.9000000000000004</v>
      </c>
      <c r="E1186" s="4">
        <v>53</v>
      </c>
      <c r="F1186" s="8">
        <v>7.45</v>
      </c>
      <c r="G1186" s="4">
        <v>13</v>
      </c>
      <c r="H1186" s="8">
        <v>2.0099999999999998</v>
      </c>
      <c r="I1186" s="4">
        <v>1</v>
      </c>
    </row>
    <row r="1187" spans="1:9" x14ac:dyDescent="0.2">
      <c r="A1187" s="2">
        <v>7</v>
      </c>
      <c r="B1187" s="1" t="s">
        <v>116</v>
      </c>
      <c r="C1187" s="4">
        <v>53</v>
      </c>
      <c r="D1187" s="8">
        <v>3.88</v>
      </c>
      <c r="E1187" s="4">
        <v>45</v>
      </c>
      <c r="F1187" s="8">
        <v>6.33</v>
      </c>
      <c r="G1187" s="4">
        <v>8</v>
      </c>
      <c r="H1187" s="8">
        <v>1.24</v>
      </c>
      <c r="I1187" s="4">
        <v>0</v>
      </c>
    </row>
    <row r="1188" spans="1:9" x14ac:dyDescent="0.2">
      <c r="A1188" s="2">
        <v>8</v>
      </c>
      <c r="B1188" s="1" t="s">
        <v>99</v>
      </c>
      <c r="C1188" s="4">
        <v>48</v>
      </c>
      <c r="D1188" s="8">
        <v>3.51</v>
      </c>
      <c r="E1188" s="4">
        <v>17</v>
      </c>
      <c r="F1188" s="8">
        <v>2.39</v>
      </c>
      <c r="G1188" s="4">
        <v>31</v>
      </c>
      <c r="H1188" s="8">
        <v>4.8</v>
      </c>
      <c r="I1188" s="4">
        <v>0</v>
      </c>
    </row>
    <row r="1189" spans="1:9" x14ac:dyDescent="0.2">
      <c r="A1189" s="2">
        <v>9</v>
      </c>
      <c r="B1189" s="1" t="s">
        <v>115</v>
      </c>
      <c r="C1189" s="4">
        <v>44</v>
      </c>
      <c r="D1189" s="8">
        <v>3.22</v>
      </c>
      <c r="E1189" s="4">
        <v>37</v>
      </c>
      <c r="F1189" s="8">
        <v>5.2</v>
      </c>
      <c r="G1189" s="4">
        <v>6</v>
      </c>
      <c r="H1189" s="8">
        <v>0.93</v>
      </c>
      <c r="I1189" s="4">
        <v>0</v>
      </c>
    </row>
    <row r="1190" spans="1:9" x14ac:dyDescent="0.2">
      <c r="A1190" s="2">
        <v>10</v>
      </c>
      <c r="B1190" s="1" t="s">
        <v>130</v>
      </c>
      <c r="C1190" s="4">
        <v>43</v>
      </c>
      <c r="D1190" s="8">
        <v>3.15</v>
      </c>
      <c r="E1190" s="4">
        <v>10</v>
      </c>
      <c r="F1190" s="8">
        <v>1.41</v>
      </c>
      <c r="G1190" s="4">
        <v>32</v>
      </c>
      <c r="H1190" s="8">
        <v>4.95</v>
      </c>
      <c r="I1190" s="4">
        <v>0</v>
      </c>
    </row>
    <row r="1191" spans="1:9" x14ac:dyDescent="0.2">
      <c r="A1191" s="2">
        <v>11</v>
      </c>
      <c r="B1191" s="1" t="s">
        <v>100</v>
      </c>
      <c r="C1191" s="4">
        <v>41</v>
      </c>
      <c r="D1191" s="8">
        <v>3</v>
      </c>
      <c r="E1191" s="4">
        <v>9</v>
      </c>
      <c r="F1191" s="8">
        <v>1.27</v>
      </c>
      <c r="G1191" s="4">
        <v>32</v>
      </c>
      <c r="H1191" s="8">
        <v>4.95</v>
      </c>
      <c r="I1191" s="4">
        <v>0</v>
      </c>
    </row>
    <row r="1192" spans="1:9" x14ac:dyDescent="0.2">
      <c r="A1192" s="2">
        <v>12</v>
      </c>
      <c r="B1192" s="1" t="s">
        <v>117</v>
      </c>
      <c r="C1192" s="4">
        <v>39</v>
      </c>
      <c r="D1192" s="8">
        <v>2.85</v>
      </c>
      <c r="E1192" s="4">
        <v>0</v>
      </c>
      <c r="F1192" s="8">
        <v>0</v>
      </c>
      <c r="G1192" s="4">
        <v>36</v>
      </c>
      <c r="H1192" s="8">
        <v>5.57</v>
      </c>
      <c r="I1192" s="4">
        <v>0</v>
      </c>
    </row>
    <row r="1193" spans="1:9" x14ac:dyDescent="0.2">
      <c r="A1193" s="2">
        <v>13</v>
      </c>
      <c r="B1193" s="1" t="s">
        <v>101</v>
      </c>
      <c r="C1193" s="4">
        <v>36</v>
      </c>
      <c r="D1193" s="8">
        <v>2.63</v>
      </c>
      <c r="E1193" s="4">
        <v>9</v>
      </c>
      <c r="F1193" s="8">
        <v>1.27</v>
      </c>
      <c r="G1193" s="4">
        <v>27</v>
      </c>
      <c r="H1193" s="8">
        <v>4.18</v>
      </c>
      <c r="I1193" s="4">
        <v>0</v>
      </c>
    </row>
    <row r="1194" spans="1:9" x14ac:dyDescent="0.2">
      <c r="A1194" s="2">
        <v>13</v>
      </c>
      <c r="B1194" s="1" t="s">
        <v>107</v>
      </c>
      <c r="C1194" s="4">
        <v>36</v>
      </c>
      <c r="D1194" s="8">
        <v>2.63</v>
      </c>
      <c r="E1194" s="4">
        <v>28</v>
      </c>
      <c r="F1194" s="8">
        <v>3.94</v>
      </c>
      <c r="G1194" s="4">
        <v>8</v>
      </c>
      <c r="H1194" s="8">
        <v>1.24</v>
      </c>
      <c r="I1194" s="4">
        <v>0</v>
      </c>
    </row>
    <row r="1195" spans="1:9" x14ac:dyDescent="0.2">
      <c r="A1195" s="2">
        <v>15</v>
      </c>
      <c r="B1195" s="1" t="s">
        <v>105</v>
      </c>
      <c r="C1195" s="4">
        <v>34</v>
      </c>
      <c r="D1195" s="8">
        <v>2.4900000000000002</v>
      </c>
      <c r="E1195" s="4">
        <v>29</v>
      </c>
      <c r="F1195" s="8">
        <v>4.08</v>
      </c>
      <c r="G1195" s="4">
        <v>5</v>
      </c>
      <c r="H1195" s="8">
        <v>0.77</v>
      </c>
      <c r="I1195" s="4">
        <v>0</v>
      </c>
    </row>
    <row r="1196" spans="1:9" x14ac:dyDescent="0.2">
      <c r="A1196" s="2">
        <v>16</v>
      </c>
      <c r="B1196" s="1" t="s">
        <v>132</v>
      </c>
      <c r="C1196" s="4">
        <v>22</v>
      </c>
      <c r="D1196" s="8">
        <v>1.61</v>
      </c>
      <c r="E1196" s="4">
        <v>7</v>
      </c>
      <c r="F1196" s="8">
        <v>0.98</v>
      </c>
      <c r="G1196" s="4">
        <v>15</v>
      </c>
      <c r="H1196" s="8">
        <v>2.3199999999999998</v>
      </c>
      <c r="I1196" s="4">
        <v>0</v>
      </c>
    </row>
    <row r="1197" spans="1:9" x14ac:dyDescent="0.2">
      <c r="A1197" s="2">
        <v>17</v>
      </c>
      <c r="B1197" s="1" t="s">
        <v>111</v>
      </c>
      <c r="C1197" s="4">
        <v>21</v>
      </c>
      <c r="D1197" s="8">
        <v>1.54</v>
      </c>
      <c r="E1197" s="4">
        <v>14</v>
      </c>
      <c r="F1197" s="8">
        <v>1.97</v>
      </c>
      <c r="G1197" s="4">
        <v>7</v>
      </c>
      <c r="H1197" s="8">
        <v>1.08</v>
      </c>
      <c r="I1197" s="4">
        <v>0</v>
      </c>
    </row>
    <row r="1198" spans="1:9" x14ac:dyDescent="0.2">
      <c r="A1198" s="2">
        <v>18</v>
      </c>
      <c r="B1198" s="1" t="s">
        <v>127</v>
      </c>
      <c r="C1198" s="4">
        <v>20</v>
      </c>
      <c r="D1198" s="8">
        <v>1.46</v>
      </c>
      <c r="E1198" s="4">
        <v>5</v>
      </c>
      <c r="F1198" s="8">
        <v>0.7</v>
      </c>
      <c r="G1198" s="4">
        <v>15</v>
      </c>
      <c r="H1198" s="8">
        <v>2.3199999999999998</v>
      </c>
      <c r="I1198" s="4">
        <v>0</v>
      </c>
    </row>
    <row r="1199" spans="1:9" x14ac:dyDescent="0.2">
      <c r="A1199" s="2">
        <v>18</v>
      </c>
      <c r="B1199" s="1" t="s">
        <v>109</v>
      </c>
      <c r="C1199" s="4">
        <v>20</v>
      </c>
      <c r="D1199" s="8">
        <v>1.46</v>
      </c>
      <c r="E1199" s="4">
        <v>3</v>
      </c>
      <c r="F1199" s="8">
        <v>0.42</v>
      </c>
      <c r="G1199" s="4">
        <v>17</v>
      </c>
      <c r="H1199" s="8">
        <v>2.63</v>
      </c>
      <c r="I1199" s="4">
        <v>0</v>
      </c>
    </row>
    <row r="1200" spans="1:9" x14ac:dyDescent="0.2">
      <c r="A1200" s="2">
        <v>20</v>
      </c>
      <c r="B1200" s="1" t="s">
        <v>126</v>
      </c>
      <c r="C1200" s="4">
        <v>18</v>
      </c>
      <c r="D1200" s="8">
        <v>1.32</v>
      </c>
      <c r="E1200" s="4">
        <v>5</v>
      </c>
      <c r="F1200" s="8">
        <v>0.7</v>
      </c>
      <c r="G1200" s="4">
        <v>13</v>
      </c>
      <c r="H1200" s="8">
        <v>2.0099999999999998</v>
      </c>
      <c r="I1200" s="4">
        <v>0</v>
      </c>
    </row>
    <row r="1201" spans="1:9" x14ac:dyDescent="0.2">
      <c r="A1201" s="2">
        <v>20</v>
      </c>
      <c r="B1201" s="1" t="s">
        <v>102</v>
      </c>
      <c r="C1201" s="4">
        <v>18</v>
      </c>
      <c r="D1201" s="8">
        <v>1.32</v>
      </c>
      <c r="E1201" s="4">
        <v>4</v>
      </c>
      <c r="F1201" s="8">
        <v>0.56000000000000005</v>
      </c>
      <c r="G1201" s="4">
        <v>14</v>
      </c>
      <c r="H1201" s="8">
        <v>2.17</v>
      </c>
      <c r="I1201" s="4">
        <v>0</v>
      </c>
    </row>
    <row r="1202" spans="1:9" x14ac:dyDescent="0.2">
      <c r="A1202" s="1"/>
      <c r="C1202" s="4"/>
      <c r="D1202" s="8"/>
      <c r="E1202" s="4"/>
      <c r="F1202" s="8"/>
      <c r="G1202" s="4"/>
      <c r="H1202" s="8"/>
      <c r="I1202" s="4"/>
    </row>
    <row r="1203" spans="1:9" x14ac:dyDescent="0.2">
      <c r="A1203" s="1" t="s">
        <v>54</v>
      </c>
      <c r="C1203" s="4"/>
      <c r="D1203" s="8"/>
      <c r="E1203" s="4"/>
      <c r="F1203" s="8"/>
      <c r="G1203" s="4"/>
      <c r="H1203" s="8"/>
      <c r="I1203" s="4"/>
    </row>
    <row r="1204" spans="1:9" x14ac:dyDescent="0.2">
      <c r="A1204" s="2">
        <v>1</v>
      </c>
      <c r="B1204" s="1" t="s">
        <v>110</v>
      </c>
      <c r="C1204" s="4">
        <v>258</v>
      </c>
      <c r="D1204" s="8">
        <v>11.8</v>
      </c>
      <c r="E1204" s="4">
        <v>110</v>
      </c>
      <c r="F1204" s="8">
        <v>9.83</v>
      </c>
      <c r="G1204" s="4">
        <v>148</v>
      </c>
      <c r="H1204" s="8">
        <v>14.16</v>
      </c>
      <c r="I1204" s="4">
        <v>0</v>
      </c>
    </row>
    <row r="1205" spans="1:9" x14ac:dyDescent="0.2">
      <c r="A1205" s="2">
        <v>2</v>
      </c>
      <c r="B1205" s="1" t="s">
        <v>113</v>
      </c>
      <c r="C1205" s="4">
        <v>166</v>
      </c>
      <c r="D1205" s="8">
        <v>7.59</v>
      </c>
      <c r="E1205" s="4">
        <v>155</v>
      </c>
      <c r="F1205" s="8">
        <v>13.85</v>
      </c>
      <c r="G1205" s="4">
        <v>11</v>
      </c>
      <c r="H1205" s="8">
        <v>1.05</v>
      </c>
      <c r="I1205" s="4">
        <v>0</v>
      </c>
    </row>
    <row r="1206" spans="1:9" x14ac:dyDescent="0.2">
      <c r="A1206" s="2">
        <v>3</v>
      </c>
      <c r="B1206" s="1" t="s">
        <v>114</v>
      </c>
      <c r="C1206" s="4">
        <v>162</v>
      </c>
      <c r="D1206" s="8">
        <v>7.41</v>
      </c>
      <c r="E1206" s="4">
        <v>141</v>
      </c>
      <c r="F1206" s="8">
        <v>12.6</v>
      </c>
      <c r="G1206" s="4">
        <v>21</v>
      </c>
      <c r="H1206" s="8">
        <v>2.0099999999999998</v>
      </c>
      <c r="I1206" s="4">
        <v>0</v>
      </c>
    </row>
    <row r="1207" spans="1:9" x14ac:dyDescent="0.2">
      <c r="A1207" s="2">
        <v>4</v>
      </c>
      <c r="B1207" s="1" t="s">
        <v>98</v>
      </c>
      <c r="C1207" s="4">
        <v>150</v>
      </c>
      <c r="D1207" s="8">
        <v>6.86</v>
      </c>
      <c r="E1207" s="4">
        <v>42</v>
      </c>
      <c r="F1207" s="8">
        <v>3.75</v>
      </c>
      <c r="G1207" s="4">
        <v>108</v>
      </c>
      <c r="H1207" s="8">
        <v>10.33</v>
      </c>
      <c r="I1207" s="4">
        <v>0</v>
      </c>
    </row>
    <row r="1208" spans="1:9" x14ac:dyDescent="0.2">
      <c r="A1208" s="2">
        <v>5</v>
      </c>
      <c r="B1208" s="1" t="s">
        <v>108</v>
      </c>
      <c r="C1208" s="4">
        <v>110</v>
      </c>
      <c r="D1208" s="8">
        <v>5.03</v>
      </c>
      <c r="E1208" s="4">
        <v>71</v>
      </c>
      <c r="F1208" s="8">
        <v>6.34</v>
      </c>
      <c r="G1208" s="4">
        <v>39</v>
      </c>
      <c r="H1208" s="8">
        <v>3.73</v>
      </c>
      <c r="I1208" s="4">
        <v>0</v>
      </c>
    </row>
    <row r="1209" spans="1:9" x14ac:dyDescent="0.2">
      <c r="A1209" s="2">
        <v>6</v>
      </c>
      <c r="B1209" s="1" t="s">
        <v>106</v>
      </c>
      <c r="C1209" s="4">
        <v>95</v>
      </c>
      <c r="D1209" s="8">
        <v>4.34</v>
      </c>
      <c r="E1209" s="4">
        <v>73</v>
      </c>
      <c r="F1209" s="8">
        <v>6.52</v>
      </c>
      <c r="G1209" s="4">
        <v>22</v>
      </c>
      <c r="H1209" s="8">
        <v>2.11</v>
      </c>
      <c r="I1209" s="4">
        <v>0</v>
      </c>
    </row>
    <row r="1210" spans="1:9" x14ac:dyDescent="0.2">
      <c r="A1210" s="2">
        <v>7</v>
      </c>
      <c r="B1210" s="1" t="s">
        <v>99</v>
      </c>
      <c r="C1210" s="4">
        <v>90</v>
      </c>
      <c r="D1210" s="8">
        <v>4.12</v>
      </c>
      <c r="E1210" s="4">
        <v>26</v>
      </c>
      <c r="F1210" s="8">
        <v>2.3199999999999998</v>
      </c>
      <c r="G1210" s="4">
        <v>64</v>
      </c>
      <c r="H1210" s="8">
        <v>6.12</v>
      </c>
      <c r="I1210" s="4">
        <v>0</v>
      </c>
    </row>
    <row r="1211" spans="1:9" x14ac:dyDescent="0.2">
      <c r="A1211" s="2">
        <v>8</v>
      </c>
      <c r="B1211" s="1" t="s">
        <v>115</v>
      </c>
      <c r="C1211" s="4">
        <v>85</v>
      </c>
      <c r="D1211" s="8">
        <v>3.89</v>
      </c>
      <c r="E1211" s="4">
        <v>71</v>
      </c>
      <c r="F1211" s="8">
        <v>6.34</v>
      </c>
      <c r="G1211" s="4">
        <v>12</v>
      </c>
      <c r="H1211" s="8">
        <v>1.1499999999999999</v>
      </c>
      <c r="I1211" s="4">
        <v>0</v>
      </c>
    </row>
    <row r="1212" spans="1:9" x14ac:dyDescent="0.2">
      <c r="A1212" s="2">
        <v>9</v>
      </c>
      <c r="B1212" s="1" t="s">
        <v>100</v>
      </c>
      <c r="C1212" s="4">
        <v>82</v>
      </c>
      <c r="D1212" s="8">
        <v>3.75</v>
      </c>
      <c r="E1212" s="4">
        <v>21</v>
      </c>
      <c r="F1212" s="8">
        <v>1.88</v>
      </c>
      <c r="G1212" s="4">
        <v>61</v>
      </c>
      <c r="H1212" s="8">
        <v>5.84</v>
      </c>
      <c r="I1212" s="4">
        <v>0</v>
      </c>
    </row>
    <row r="1213" spans="1:9" x14ac:dyDescent="0.2">
      <c r="A1213" s="2">
        <v>10</v>
      </c>
      <c r="B1213" s="1" t="s">
        <v>116</v>
      </c>
      <c r="C1213" s="4">
        <v>81</v>
      </c>
      <c r="D1213" s="8">
        <v>3.7</v>
      </c>
      <c r="E1213" s="4">
        <v>70</v>
      </c>
      <c r="F1213" s="8">
        <v>6.26</v>
      </c>
      <c r="G1213" s="4">
        <v>11</v>
      </c>
      <c r="H1213" s="8">
        <v>1.05</v>
      </c>
      <c r="I1213" s="4">
        <v>0</v>
      </c>
    </row>
    <row r="1214" spans="1:9" x14ac:dyDescent="0.2">
      <c r="A1214" s="2">
        <v>11</v>
      </c>
      <c r="B1214" s="1" t="s">
        <v>101</v>
      </c>
      <c r="C1214" s="4">
        <v>77</v>
      </c>
      <c r="D1214" s="8">
        <v>3.52</v>
      </c>
      <c r="E1214" s="4">
        <v>28</v>
      </c>
      <c r="F1214" s="8">
        <v>2.5</v>
      </c>
      <c r="G1214" s="4">
        <v>49</v>
      </c>
      <c r="H1214" s="8">
        <v>4.6900000000000004</v>
      </c>
      <c r="I1214" s="4">
        <v>0</v>
      </c>
    </row>
    <row r="1215" spans="1:9" x14ac:dyDescent="0.2">
      <c r="A1215" s="2">
        <v>12</v>
      </c>
      <c r="B1215" s="1" t="s">
        <v>107</v>
      </c>
      <c r="C1215" s="4">
        <v>63</v>
      </c>
      <c r="D1215" s="8">
        <v>2.88</v>
      </c>
      <c r="E1215" s="4">
        <v>45</v>
      </c>
      <c r="F1215" s="8">
        <v>4.0199999999999996</v>
      </c>
      <c r="G1215" s="4">
        <v>18</v>
      </c>
      <c r="H1215" s="8">
        <v>1.72</v>
      </c>
      <c r="I1215" s="4">
        <v>0</v>
      </c>
    </row>
    <row r="1216" spans="1:9" x14ac:dyDescent="0.2">
      <c r="A1216" s="2">
        <v>13</v>
      </c>
      <c r="B1216" s="1" t="s">
        <v>111</v>
      </c>
      <c r="C1216" s="4">
        <v>54</v>
      </c>
      <c r="D1216" s="8">
        <v>2.4700000000000002</v>
      </c>
      <c r="E1216" s="4">
        <v>25</v>
      </c>
      <c r="F1216" s="8">
        <v>2.23</v>
      </c>
      <c r="G1216" s="4">
        <v>29</v>
      </c>
      <c r="H1216" s="8">
        <v>2.78</v>
      </c>
      <c r="I1216" s="4">
        <v>0</v>
      </c>
    </row>
    <row r="1217" spans="1:9" x14ac:dyDescent="0.2">
      <c r="A1217" s="2">
        <v>14</v>
      </c>
      <c r="B1217" s="1" t="s">
        <v>117</v>
      </c>
      <c r="C1217" s="4">
        <v>52</v>
      </c>
      <c r="D1217" s="8">
        <v>2.38</v>
      </c>
      <c r="E1217" s="4">
        <v>1</v>
      </c>
      <c r="F1217" s="8">
        <v>0.09</v>
      </c>
      <c r="G1217" s="4">
        <v>34</v>
      </c>
      <c r="H1217" s="8">
        <v>3.25</v>
      </c>
      <c r="I1217" s="4">
        <v>1</v>
      </c>
    </row>
    <row r="1218" spans="1:9" x14ac:dyDescent="0.2">
      <c r="A1218" s="2">
        <v>15</v>
      </c>
      <c r="B1218" s="1" t="s">
        <v>109</v>
      </c>
      <c r="C1218" s="4">
        <v>38</v>
      </c>
      <c r="D1218" s="8">
        <v>1.74</v>
      </c>
      <c r="E1218" s="4">
        <v>9</v>
      </c>
      <c r="F1218" s="8">
        <v>0.8</v>
      </c>
      <c r="G1218" s="4">
        <v>29</v>
      </c>
      <c r="H1218" s="8">
        <v>2.78</v>
      </c>
      <c r="I1218" s="4">
        <v>0</v>
      </c>
    </row>
    <row r="1219" spans="1:9" x14ac:dyDescent="0.2">
      <c r="A1219" s="2">
        <v>16</v>
      </c>
      <c r="B1219" s="1" t="s">
        <v>127</v>
      </c>
      <c r="C1219" s="4">
        <v>37</v>
      </c>
      <c r="D1219" s="8">
        <v>1.69</v>
      </c>
      <c r="E1219" s="4">
        <v>7</v>
      </c>
      <c r="F1219" s="8">
        <v>0.63</v>
      </c>
      <c r="G1219" s="4">
        <v>30</v>
      </c>
      <c r="H1219" s="8">
        <v>2.87</v>
      </c>
      <c r="I1219" s="4">
        <v>0</v>
      </c>
    </row>
    <row r="1220" spans="1:9" x14ac:dyDescent="0.2">
      <c r="A1220" s="2">
        <v>17</v>
      </c>
      <c r="B1220" s="1" t="s">
        <v>104</v>
      </c>
      <c r="C1220" s="4">
        <v>34</v>
      </c>
      <c r="D1220" s="8">
        <v>1.55</v>
      </c>
      <c r="E1220" s="4">
        <v>8</v>
      </c>
      <c r="F1220" s="8">
        <v>0.71</v>
      </c>
      <c r="G1220" s="4">
        <v>26</v>
      </c>
      <c r="H1220" s="8">
        <v>2.4900000000000002</v>
      </c>
      <c r="I1220" s="4">
        <v>0</v>
      </c>
    </row>
    <row r="1221" spans="1:9" x14ac:dyDescent="0.2">
      <c r="A1221" s="2">
        <v>18</v>
      </c>
      <c r="B1221" s="1" t="s">
        <v>102</v>
      </c>
      <c r="C1221" s="4">
        <v>33</v>
      </c>
      <c r="D1221" s="8">
        <v>1.51</v>
      </c>
      <c r="E1221" s="4">
        <v>11</v>
      </c>
      <c r="F1221" s="8">
        <v>0.98</v>
      </c>
      <c r="G1221" s="4">
        <v>22</v>
      </c>
      <c r="H1221" s="8">
        <v>2.11</v>
      </c>
      <c r="I1221" s="4">
        <v>0</v>
      </c>
    </row>
    <row r="1222" spans="1:9" x14ac:dyDescent="0.2">
      <c r="A1222" s="2">
        <v>18</v>
      </c>
      <c r="B1222" s="1" t="s">
        <v>112</v>
      </c>
      <c r="C1222" s="4">
        <v>33</v>
      </c>
      <c r="D1222" s="8">
        <v>1.51</v>
      </c>
      <c r="E1222" s="4">
        <v>16</v>
      </c>
      <c r="F1222" s="8">
        <v>1.43</v>
      </c>
      <c r="G1222" s="4">
        <v>17</v>
      </c>
      <c r="H1222" s="8">
        <v>1.63</v>
      </c>
      <c r="I1222" s="4">
        <v>0</v>
      </c>
    </row>
    <row r="1223" spans="1:9" x14ac:dyDescent="0.2">
      <c r="A1223" s="2">
        <v>18</v>
      </c>
      <c r="B1223" s="1" t="s">
        <v>130</v>
      </c>
      <c r="C1223" s="4">
        <v>33</v>
      </c>
      <c r="D1223" s="8">
        <v>1.51</v>
      </c>
      <c r="E1223" s="4">
        <v>24</v>
      </c>
      <c r="F1223" s="8">
        <v>2.14</v>
      </c>
      <c r="G1223" s="4">
        <v>9</v>
      </c>
      <c r="H1223" s="8">
        <v>0.86</v>
      </c>
      <c r="I1223" s="4">
        <v>0</v>
      </c>
    </row>
    <row r="1224" spans="1:9" x14ac:dyDescent="0.2">
      <c r="A1224" s="1"/>
      <c r="C1224" s="4"/>
      <c r="D1224" s="8"/>
      <c r="E1224" s="4"/>
      <c r="F1224" s="8"/>
      <c r="G1224" s="4"/>
      <c r="H1224" s="8"/>
      <c r="I1224" s="4"/>
    </row>
    <row r="1225" spans="1:9" x14ac:dyDescent="0.2">
      <c r="A1225" s="1" t="s">
        <v>55</v>
      </c>
      <c r="C1225" s="4"/>
      <c r="D1225" s="8"/>
      <c r="E1225" s="4"/>
      <c r="F1225" s="8"/>
      <c r="G1225" s="4"/>
      <c r="H1225" s="8"/>
      <c r="I1225" s="4"/>
    </row>
    <row r="1226" spans="1:9" x14ac:dyDescent="0.2">
      <c r="A1226" s="2">
        <v>1</v>
      </c>
      <c r="B1226" s="1" t="s">
        <v>113</v>
      </c>
      <c r="C1226" s="4">
        <v>463</v>
      </c>
      <c r="D1226" s="8">
        <v>15.21</v>
      </c>
      <c r="E1226" s="4">
        <v>441</v>
      </c>
      <c r="F1226" s="8">
        <v>28.58</v>
      </c>
      <c r="G1226" s="4">
        <v>22</v>
      </c>
      <c r="H1226" s="8">
        <v>1.47</v>
      </c>
      <c r="I1226" s="4">
        <v>0</v>
      </c>
    </row>
    <row r="1227" spans="1:9" x14ac:dyDescent="0.2">
      <c r="A1227" s="2">
        <v>2</v>
      </c>
      <c r="B1227" s="1" t="s">
        <v>110</v>
      </c>
      <c r="C1227" s="4">
        <v>322</v>
      </c>
      <c r="D1227" s="8">
        <v>10.57</v>
      </c>
      <c r="E1227" s="4">
        <v>43</v>
      </c>
      <c r="F1227" s="8">
        <v>2.79</v>
      </c>
      <c r="G1227" s="4">
        <v>279</v>
      </c>
      <c r="H1227" s="8">
        <v>18.62</v>
      </c>
      <c r="I1227" s="4">
        <v>0</v>
      </c>
    </row>
    <row r="1228" spans="1:9" x14ac:dyDescent="0.2">
      <c r="A1228" s="2">
        <v>3</v>
      </c>
      <c r="B1228" s="1" t="s">
        <v>114</v>
      </c>
      <c r="C1228" s="4">
        <v>267</v>
      </c>
      <c r="D1228" s="8">
        <v>8.77</v>
      </c>
      <c r="E1228" s="4">
        <v>235</v>
      </c>
      <c r="F1228" s="8">
        <v>15.23</v>
      </c>
      <c r="G1228" s="4">
        <v>32</v>
      </c>
      <c r="H1228" s="8">
        <v>2.14</v>
      </c>
      <c r="I1228" s="4">
        <v>0</v>
      </c>
    </row>
    <row r="1229" spans="1:9" x14ac:dyDescent="0.2">
      <c r="A1229" s="2">
        <v>4</v>
      </c>
      <c r="B1229" s="1" t="s">
        <v>108</v>
      </c>
      <c r="C1229" s="4">
        <v>155</v>
      </c>
      <c r="D1229" s="8">
        <v>5.09</v>
      </c>
      <c r="E1229" s="4">
        <v>99</v>
      </c>
      <c r="F1229" s="8">
        <v>6.42</v>
      </c>
      <c r="G1229" s="4">
        <v>56</v>
      </c>
      <c r="H1229" s="8">
        <v>3.74</v>
      </c>
      <c r="I1229" s="4">
        <v>0</v>
      </c>
    </row>
    <row r="1230" spans="1:9" x14ac:dyDescent="0.2">
      <c r="A1230" s="2">
        <v>5</v>
      </c>
      <c r="B1230" s="1" t="s">
        <v>99</v>
      </c>
      <c r="C1230" s="4">
        <v>137</v>
      </c>
      <c r="D1230" s="8">
        <v>4.5</v>
      </c>
      <c r="E1230" s="4">
        <v>25</v>
      </c>
      <c r="F1230" s="8">
        <v>1.62</v>
      </c>
      <c r="G1230" s="4">
        <v>112</v>
      </c>
      <c r="H1230" s="8">
        <v>7.48</v>
      </c>
      <c r="I1230" s="4">
        <v>0</v>
      </c>
    </row>
    <row r="1231" spans="1:9" x14ac:dyDescent="0.2">
      <c r="A1231" s="2">
        <v>6</v>
      </c>
      <c r="B1231" s="1" t="s">
        <v>100</v>
      </c>
      <c r="C1231" s="4">
        <v>124</v>
      </c>
      <c r="D1231" s="8">
        <v>4.07</v>
      </c>
      <c r="E1231" s="4">
        <v>22</v>
      </c>
      <c r="F1231" s="8">
        <v>1.43</v>
      </c>
      <c r="G1231" s="4">
        <v>102</v>
      </c>
      <c r="H1231" s="8">
        <v>6.81</v>
      </c>
      <c r="I1231" s="4">
        <v>0</v>
      </c>
    </row>
    <row r="1232" spans="1:9" x14ac:dyDescent="0.2">
      <c r="A1232" s="2">
        <v>7</v>
      </c>
      <c r="B1232" s="1" t="s">
        <v>98</v>
      </c>
      <c r="C1232" s="4">
        <v>111</v>
      </c>
      <c r="D1232" s="8">
        <v>3.65</v>
      </c>
      <c r="E1232" s="4">
        <v>21</v>
      </c>
      <c r="F1232" s="8">
        <v>1.36</v>
      </c>
      <c r="G1232" s="4">
        <v>90</v>
      </c>
      <c r="H1232" s="8">
        <v>6.01</v>
      </c>
      <c r="I1232" s="4">
        <v>0</v>
      </c>
    </row>
    <row r="1233" spans="1:9" x14ac:dyDescent="0.2">
      <c r="A1233" s="2">
        <v>8</v>
      </c>
      <c r="B1233" s="1" t="s">
        <v>116</v>
      </c>
      <c r="C1233" s="4">
        <v>110</v>
      </c>
      <c r="D1233" s="8">
        <v>3.61</v>
      </c>
      <c r="E1233" s="4">
        <v>93</v>
      </c>
      <c r="F1233" s="8">
        <v>6.03</v>
      </c>
      <c r="G1233" s="4">
        <v>17</v>
      </c>
      <c r="H1233" s="8">
        <v>1.1299999999999999</v>
      </c>
      <c r="I1233" s="4">
        <v>0</v>
      </c>
    </row>
    <row r="1234" spans="1:9" x14ac:dyDescent="0.2">
      <c r="A1234" s="2">
        <v>9</v>
      </c>
      <c r="B1234" s="1" t="s">
        <v>101</v>
      </c>
      <c r="C1234" s="4">
        <v>103</v>
      </c>
      <c r="D1234" s="8">
        <v>3.38</v>
      </c>
      <c r="E1234" s="4">
        <v>45</v>
      </c>
      <c r="F1234" s="8">
        <v>2.92</v>
      </c>
      <c r="G1234" s="4">
        <v>58</v>
      </c>
      <c r="H1234" s="8">
        <v>3.87</v>
      </c>
      <c r="I1234" s="4">
        <v>0</v>
      </c>
    </row>
    <row r="1235" spans="1:9" x14ac:dyDescent="0.2">
      <c r="A1235" s="2">
        <v>10</v>
      </c>
      <c r="B1235" s="1" t="s">
        <v>106</v>
      </c>
      <c r="C1235" s="4">
        <v>101</v>
      </c>
      <c r="D1235" s="8">
        <v>3.32</v>
      </c>
      <c r="E1235" s="4">
        <v>76</v>
      </c>
      <c r="F1235" s="8">
        <v>4.93</v>
      </c>
      <c r="G1235" s="4">
        <v>25</v>
      </c>
      <c r="H1235" s="8">
        <v>1.67</v>
      </c>
      <c r="I1235" s="4">
        <v>0</v>
      </c>
    </row>
    <row r="1236" spans="1:9" x14ac:dyDescent="0.2">
      <c r="A1236" s="2">
        <v>11</v>
      </c>
      <c r="B1236" s="1" t="s">
        <v>107</v>
      </c>
      <c r="C1236" s="4">
        <v>81</v>
      </c>
      <c r="D1236" s="8">
        <v>2.66</v>
      </c>
      <c r="E1236" s="4">
        <v>53</v>
      </c>
      <c r="F1236" s="8">
        <v>3.43</v>
      </c>
      <c r="G1236" s="4">
        <v>28</v>
      </c>
      <c r="H1236" s="8">
        <v>1.87</v>
      </c>
      <c r="I1236" s="4">
        <v>0</v>
      </c>
    </row>
    <row r="1237" spans="1:9" x14ac:dyDescent="0.2">
      <c r="A1237" s="2">
        <v>12</v>
      </c>
      <c r="B1237" s="1" t="s">
        <v>109</v>
      </c>
      <c r="C1237" s="4">
        <v>69</v>
      </c>
      <c r="D1237" s="8">
        <v>2.27</v>
      </c>
      <c r="E1237" s="4">
        <v>22</v>
      </c>
      <c r="F1237" s="8">
        <v>1.43</v>
      </c>
      <c r="G1237" s="4">
        <v>47</v>
      </c>
      <c r="H1237" s="8">
        <v>3.14</v>
      </c>
      <c r="I1237" s="4">
        <v>0</v>
      </c>
    </row>
    <row r="1238" spans="1:9" x14ac:dyDescent="0.2">
      <c r="A1238" s="2">
        <v>13</v>
      </c>
      <c r="B1238" s="1" t="s">
        <v>117</v>
      </c>
      <c r="C1238" s="4">
        <v>57</v>
      </c>
      <c r="D1238" s="8">
        <v>1.87</v>
      </c>
      <c r="E1238" s="4">
        <v>1</v>
      </c>
      <c r="F1238" s="8">
        <v>0.06</v>
      </c>
      <c r="G1238" s="4">
        <v>54</v>
      </c>
      <c r="H1238" s="8">
        <v>3.6</v>
      </c>
      <c r="I1238" s="4">
        <v>0</v>
      </c>
    </row>
    <row r="1239" spans="1:9" x14ac:dyDescent="0.2">
      <c r="A1239" s="2">
        <v>14</v>
      </c>
      <c r="B1239" s="1" t="s">
        <v>115</v>
      </c>
      <c r="C1239" s="4">
        <v>55</v>
      </c>
      <c r="D1239" s="8">
        <v>1.81</v>
      </c>
      <c r="E1239" s="4">
        <v>39</v>
      </c>
      <c r="F1239" s="8">
        <v>2.5299999999999998</v>
      </c>
      <c r="G1239" s="4">
        <v>15</v>
      </c>
      <c r="H1239" s="8">
        <v>1</v>
      </c>
      <c r="I1239" s="4">
        <v>0</v>
      </c>
    </row>
    <row r="1240" spans="1:9" x14ac:dyDescent="0.2">
      <c r="A1240" s="2">
        <v>15</v>
      </c>
      <c r="B1240" s="1" t="s">
        <v>127</v>
      </c>
      <c r="C1240" s="4">
        <v>52</v>
      </c>
      <c r="D1240" s="8">
        <v>1.71</v>
      </c>
      <c r="E1240" s="4">
        <v>12</v>
      </c>
      <c r="F1240" s="8">
        <v>0.78</v>
      </c>
      <c r="G1240" s="4">
        <v>40</v>
      </c>
      <c r="H1240" s="8">
        <v>2.67</v>
      </c>
      <c r="I1240" s="4">
        <v>0</v>
      </c>
    </row>
    <row r="1241" spans="1:9" x14ac:dyDescent="0.2">
      <c r="A1241" s="2">
        <v>16</v>
      </c>
      <c r="B1241" s="1" t="s">
        <v>129</v>
      </c>
      <c r="C1241" s="4">
        <v>51</v>
      </c>
      <c r="D1241" s="8">
        <v>1.67</v>
      </c>
      <c r="E1241" s="4">
        <v>35</v>
      </c>
      <c r="F1241" s="8">
        <v>2.27</v>
      </c>
      <c r="G1241" s="4">
        <v>16</v>
      </c>
      <c r="H1241" s="8">
        <v>1.07</v>
      </c>
      <c r="I1241" s="4">
        <v>0</v>
      </c>
    </row>
    <row r="1242" spans="1:9" x14ac:dyDescent="0.2">
      <c r="A1242" s="2">
        <v>17</v>
      </c>
      <c r="B1242" s="1" t="s">
        <v>105</v>
      </c>
      <c r="C1242" s="4">
        <v>47</v>
      </c>
      <c r="D1242" s="8">
        <v>1.54</v>
      </c>
      <c r="E1242" s="4">
        <v>35</v>
      </c>
      <c r="F1242" s="8">
        <v>2.27</v>
      </c>
      <c r="G1242" s="4">
        <v>12</v>
      </c>
      <c r="H1242" s="8">
        <v>0.8</v>
      </c>
      <c r="I1242" s="4">
        <v>0</v>
      </c>
    </row>
    <row r="1243" spans="1:9" x14ac:dyDescent="0.2">
      <c r="A1243" s="2">
        <v>18</v>
      </c>
      <c r="B1243" s="1" t="s">
        <v>130</v>
      </c>
      <c r="C1243" s="4">
        <v>46</v>
      </c>
      <c r="D1243" s="8">
        <v>1.51</v>
      </c>
      <c r="E1243" s="4">
        <v>24</v>
      </c>
      <c r="F1243" s="8">
        <v>1.56</v>
      </c>
      <c r="G1243" s="4">
        <v>22</v>
      </c>
      <c r="H1243" s="8">
        <v>1.47</v>
      </c>
      <c r="I1243" s="4">
        <v>0</v>
      </c>
    </row>
    <row r="1244" spans="1:9" x14ac:dyDescent="0.2">
      <c r="A1244" s="2">
        <v>19</v>
      </c>
      <c r="B1244" s="1" t="s">
        <v>104</v>
      </c>
      <c r="C1244" s="4">
        <v>38</v>
      </c>
      <c r="D1244" s="8">
        <v>1.25</v>
      </c>
      <c r="E1244" s="4">
        <v>7</v>
      </c>
      <c r="F1244" s="8">
        <v>0.45</v>
      </c>
      <c r="G1244" s="4">
        <v>31</v>
      </c>
      <c r="H1244" s="8">
        <v>2.0699999999999998</v>
      </c>
      <c r="I1244" s="4">
        <v>0</v>
      </c>
    </row>
    <row r="1245" spans="1:9" x14ac:dyDescent="0.2">
      <c r="A1245" s="2">
        <v>20</v>
      </c>
      <c r="B1245" s="1" t="s">
        <v>132</v>
      </c>
      <c r="C1245" s="4">
        <v>37</v>
      </c>
      <c r="D1245" s="8">
        <v>1.22</v>
      </c>
      <c r="E1245" s="4">
        <v>14</v>
      </c>
      <c r="F1245" s="8">
        <v>0.91</v>
      </c>
      <c r="G1245" s="4">
        <v>23</v>
      </c>
      <c r="H1245" s="8">
        <v>1.54</v>
      </c>
      <c r="I1245" s="4">
        <v>0</v>
      </c>
    </row>
    <row r="1246" spans="1:9" x14ac:dyDescent="0.2">
      <c r="A1246" s="2">
        <v>20</v>
      </c>
      <c r="B1246" s="1" t="s">
        <v>126</v>
      </c>
      <c r="C1246" s="4">
        <v>37</v>
      </c>
      <c r="D1246" s="8">
        <v>1.22</v>
      </c>
      <c r="E1246" s="4">
        <v>11</v>
      </c>
      <c r="F1246" s="8">
        <v>0.71</v>
      </c>
      <c r="G1246" s="4">
        <v>26</v>
      </c>
      <c r="H1246" s="8">
        <v>1.74</v>
      </c>
      <c r="I1246" s="4">
        <v>0</v>
      </c>
    </row>
    <row r="1247" spans="1:9" x14ac:dyDescent="0.2">
      <c r="A1247" s="2">
        <v>20</v>
      </c>
      <c r="B1247" s="1" t="s">
        <v>111</v>
      </c>
      <c r="C1247" s="4">
        <v>37</v>
      </c>
      <c r="D1247" s="8">
        <v>1.22</v>
      </c>
      <c r="E1247" s="4">
        <v>19</v>
      </c>
      <c r="F1247" s="8">
        <v>1.23</v>
      </c>
      <c r="G1247" s="4">
        <v>18</v>
      </c>
      <c r="H1247" s="8">
        <v>1.2</v>
      </c>
      <c r="I1247" s="4">
        <v>0</v>
      </c>
    </row>
    <row r="1248" spans="1:9" x14ac:dyDescent="0.2">
      <c r="A1248" s="2">
        <v>20</v>
      </c>
      <c r="B1248" s="1" t="s">
        <v>124</v>
      </c>
      <c r="C1248" s="4">
        <v>37</v>
      </c>
      <c r="D1248" s="8">
        <v>1.22</v>
      </c>
      <c r="E1248" s="4">
        <v>18</v>
      </c>
      <c r="F1248" s="8">
        <v>1.17</v>
      </c>
      <c r="G1248" s="4">
        <v>19</v>
      </c>
      <c r="H1248" s="8">
        <v>1.27</v>
      </c>
      <c r="I1248" s="4">
        <v>0</v>
      </c>
    </row>
    <row r="1249" spans="1:9" x14ac:dyDescent="0.2">
      <c r="A1249" s="1"/>
      <c r="C1249" s="4"/>
      <c r="D1249" s="8"/>
      <c r="E1249" s="4"/>
      <c r="F1249" s="8"/>
      <c r="G1249" s="4"/>
      <c r="H1249" s="8"/>
      <c r="I1249" s="4"/>
    </row>
    <row r="1250" spans="1:9" x14ac:dyDescent="0.2">
      <c r="A1250" s="1" t="s">
        <v>56</v>
      </c>
      <c r="C1250" s="4"/>
      <c r="D1250" s="8"/>
      <c r="E1250" s="4"/>
      <c r="F1250" s="8"/>
      <c r="G1250" s="4"/>
      <c r="H1250" s="8"/>
      <c r="I1250" s="4"/>
    </row>
    <row r="1251" spans="1:9" x14ac:dyDescent="0.2">
      <c r="A1251" s="2">
        <v>1</v>
      </c>
      <c r="B1251" s="1" t="s">
        <v>110</v>
      </c>
      <c r="C1251" s="4">
        <v>298</v>
      </c>
      <c r="D1251" s="8">
        <v>13.3</v>
      </c>
      <c r="E1251" s="4">
        <v>37</v>
      </c>
      <c r="F1251" s="8">
        <v>4.29</v>
      </c>
      <c r="G1251" s="4">
        <v>261</v>
      </c>
      <c r="H1251" s="8">
        <v>19.04</v>
      </c>
      <c r="I1251" s="4">
        <v>0</v>
      </c>
    </row>
    <row r="1252" spans="1:9" x14ac:dyDescent="0.2">
      <c r="A1252" s="2">
        <v>2</v>
      </c>
      <c r="B1252" s="1" t="s">
        <v>113</v>
      </c>
      <c r="C1252" s="4">
        <v>179</v>
      </c>
      <c r="D1252" s="8">
        <v>7.99</v>
      </c>
      <c r="E1252" s="4">
        <v>163</v>
      </c>
      <c r="F1252" s="8">
        <v>18.91</v>
      </c>
      <c r="G1252" s="4">
        <v>16</v>
      </c>
      <c r="H1252" s="8">
        <v>1.17</v>
      </c>
      <c r="I1252" s="4">
        <v>0</v>
      </c>
    </row>
    <row r="1253" spans="1:9" x14ac:dyDescent="0.2">
      <c r="A1253" s="2">
        <v>3</v>
      </c>
      <c r="B1253" s="1" t="s">
        <v>114</v>
      </c>
      <c r="C1253" s="4">
        <v>134</v>
      </c>
      <c r="D1253" s="8">
        <v>5.98</v>
      </c>
      <c r="E1253" s="4">
        <v>122</v>
      </c>
      <c r="F1253" s="8">
        <v>14.15</v>
      </c>
      <c r="G1253" s="4">
        <v>12</v>
      </c>
      <c r="H1253" s="8">
        <v>0.88</v>
      </c>
      <c r="I1253" s="4">
        <v>0</v>
      </c>
    </row>
    <row r="1254" spans="1:9" x14ac:dyDescent="0.2">
      <c r="A1254" s="2">
        <v>4</v>
      </c>
      <c r="B1254" s="1" t="s">
        <v>100</v>
      </c>
      <c r="C1254" s="4">
        <v>124</v>
      </c>
      <c r="D1254" s="8">
        <v>5.53</v>
      </c>
      <c r="E1254" s="4">
        <v>26</v>
      </c>
      <c r="F1254" s="8">
        <v>3.02</v>
      </c>
      <c r="G1254" s="4">
        <v>98</v>
      </c>
      <c r="H1254" s="8">
        <v>7.15</v>
      </c>
      <c r="I1254" s="4">
        <v>0</v>
      </c>
    </row>
    <row r="1255" spans="1:9" x14ac:dyDescent="0.2">
      <c r="A1255" s="2">
        <v>5</v>
      </c>
      <c r="B1255" s="1" t="s">
        <v>99</v>
      </c>
      <c r="C1255" s="4">
        <v>120</v>
      </c>
      <c r="D1255" s="8">
        <v>5.35</v>
      </c>
      <c r="E1255" s="4">
        <v>35</v>
      </c>
      <c r="F1255" s="8">
        <v>4.0599999999999996</v>
      </c>
      <c r="G1255" s="4">
        <v>85</v>
      </c>
      <c r="H1255" s="8">
        <v>6.2</v>
      </c>
      <c r="I1255" s="4">
        <v>0</v>
      </c>
    </row>
    <row r="1256" spans="1:9" x14ac:dyDescent="0.2">
      <c r="A1256" s="2">
        <v>6</v>
      </c>
      <c r="B1256" s="1" t="s">
        <v>98</v>
      </c>
      <c r="C1256" s="4">
        <v>113</v>
      </c>
      <c r="D1256" s="8">
        <v>5.04</v>
      </c>
      <c r="E1256" s="4">
        <v>19</v>
      </c>
      <c r="F1256" s="8">
        <v>2.2000000000000002</v>
      </c>
      <c r="G1256" s="4">
        <v>94</v>
      </c>
      <c r="H1256" s="8">
        <v>6.86</v>
      </c>
      <c r="I1256" s="4">
        <v>0</v>
      </c>
    </row>
    <row r="1257" spans="1:9" x14ac:dyDescent="0.2">
      <c r="A1257" s="2">
        <v>7</v>
      </c>
      <c r="B1257" s="1" t="s">
        <v>101</v>
      </c>
      <c r="C1257" s="4">
        <v>76</v>
      </c>
      <c r="D1257" s="8">
        <v>3.39</v>
      </c>
      <c r="E1257" s="4">
        <v>21</v>
      </c>
      <c r="F1257" s="8">
        <v>2.44</v>
      </c>
      <c r="G1257" s="4">
        <v>55</v>
      </c>
      <c r="H1257" s="8">
        <v>4.01</v>
      </c>
      <c r="I1257" s="4">
        <v>0</v>
      </c>
    </row>
    <row r="1258" spans="1:9" x14ac:dyDescent="0.2">
      <c r="A1258" s="2">
        <v>8</v>
      </c>
      <c r="B1258" s="1" t="s">
        <v>108</v>
      </c>
      <c r="C1258" s="4">
        <v>73</v>
      </c>
      <c r="D1258" s="8">
        <v>3.26</v>
      </c>
      <c r="E1258" s="4">
        <v>45</v>
      </c>
      <c r="F1258" s="8">
        <v>5.22</v>
      </c>
      <c r="G1258" s="4">
        <v>28</v>
      </c>
      <c r="H1258" s="8">
        <v>2.04</v>
      </c>
      <c r="I1258" s="4">
        <v>0</v>
      </c>
    </row>
    <row r="1259" spans="1:9" x14ac:dyDescent="0.2">
      <c r="A1259" s="2">
        <v>9</v>
      </c>
      <c r="B1259" s="1" t="s">
        <v>107</v>
      </c>
      <c r="C1259" s="4">
        <v>71</v>
      </c>
      <c r="D1259" s="8">
        <v>3.17</v>
      </c>
      <c r="E1259" s="4">
        <v>41</v>
      </c>
      <c r="F1259" s="8">
        <v>4.76</v>
      </c>
      <c r="G1259" s="4">
        <v>30</v>
      </c>
      <c r="H1259" s="8">
        <v>2.19</v>
      </c>
      <c r="I1259" s="4">
        <v>0</v>
      </c>
    </row>
    <row r="1260" spans="1:9" x14ac:dyDescent="0.2">
      <c r="A1260" s="2">
        <v>10</v>
      </c>
      <c r="B1260" s="1" t="s">
        <v>127</v>
      </c>
      <c r="C1260" s="4">
        <v>68</v>
      </c>
      <c r="D1260" s="8">
        <v>3.03</v>
      </c>
      <c r="E1260" s="4">
        <v>21</v>
      </c>
      <c r="F1260" s="8">
        <v>2.44</v>
      </c>
      <c r="G1260" s="4">
        <v>47</v>
      </c>
      <c r="H1260" s="8">
        <v>3.43</v>
      </c>
      <c r="I1260" s="4">
        <v>0</v>
      </c>
    </row>
    <row r="1261" spans="1:9" x14ac:dyDescent="0.2">
      <c r="A1261" s="2">
        <v>11</v>
      </c>
      <c r="B1261" s="1" t="s">
        <v>129</v>
      </c>
      <c r="C1261" s="4">
        <v>61</v>
      </c>
      <c r="D1261" s="8">
        <v>2.72</v>
      </c>
      <c r="E1261" s="4">
        <v>33</v>
      </c>
      <c r="F1261" s="8">
        <v>3.83</v>
      </c>
      <c r="G1261" s="4">
        <v>28</v>
      </c>
      <c r="H1261" s="8">
        <v>2.04</v>
      </c>
      <c r="I1261" s="4">
        <v>0</v>
      </c>
    </row>
    <row r="1262" spans="1:9" x14ac:dyDescent="0.2">
      <c r="A1262" s="2">
        <v>12</v>
      </c>
      <c r="B1262" s="1" t="s">
        <v>116</v>
      </c>
      <c r="C1262" s="4">
        <v>60</v>
      </c>
      <c r="D1262" s="8">
        <v>2.68</v>
      </c>
      <c r="E1262" s="4">
        <v>53</v>
      </c>
      <c r="F1262" s="8">
        <v>6.15</v>
      </c>
      <c r="G1262" s="4">
        <v>7</v>
      </c>
      <c r="H1262" s="8">
        <v>0.51</v>
      </c>
      <c r="I1262" s="4">
        <v>0</v>
      </c>
    </row>
    <row r="1263" spans="1:9" x14ac:dyDescent="0.2">
      <c r="A1263" s="2">
        <v>13</v>
      </c>
      <c r="B1263" s="1" t="s">
        <v>115</v>
      </c>
      <c r="C1263" s="4">
        <v>55</v>
      </c>
      <c r="D1263" s="8">
        <v>2.4500000000000002</v>
      </c>
      <c r="E1263" s="4">
        <v>35</v>
      </c>
      <c r="F1263" s="8">
        <v>4.0599999999999996</v>
      </c>
      <c r="G1263" s="4">
        <v>13</v>
      </c>
      <c r="H1263" s="8">
        <v>0.95</v>
      </c>
      <c r="I1263" s="4">
        <v>3</v>
      </c>
    </row>
    <row r="1264" spans="1:9" x14ac:dyDescent="0.2">
      <c r="A1264" s="2">
        <v>14</v>
      </c>
      <c r="B1264" s="1" t="s">
        <v>102</v>
      </c>
      <c r="C1264" s="4">
        <v>49</v>
      </c>
      <c r="D1264" s="8">
        <v>2.19</v>
      </c>
      <c r="E1264" s="4">
        <v>18</v>
      </c>
      <c r="F1264" s="8">
        <v>2.09</v>
      </c>
      <c r="G1264" s="4">
        <v>31</v>
      </c>
      <c r="H1264" s="8">
        <v>2.2599999999999998</v>
      </c>
      <c r="I1264" s="4">
        <v>0</v>
      </c>
    </row>
    <row r="1265" spans="1:9" x14ac:dyDescent="0.2">
      <c r="A1265" s="2">
        <v>15</v>
      </c>
      <c r="B1265" s="1" t="s">
        <v>132</v>
      </c>
      <c r="C1265" s="4">
        <v>43</v>
      </c>
      <c r="D1265" s="8">
        <v>1.92</v>
      </c>
      <c r="E1265" s="4">
        <v>13</v>
      </c>
      <c r="F1265" s="8">
        <v>1.51</v>
      </c>
      <c r="G1265" s="4">
        <v>30</v>
      </c>
      <c r="H1265" s="8">
        <v>2.19</v>
      </c>
      <c r="I1265" s="4">
        <v>0</v>
      </c>
    </row>
    <row r="1266" spans="1:9" x14ac:dyDescent="0.2">
      <c r="A1266" s="2">
        <v>16</v>
      </c>
      <c r="B1266" s="1" t="s">
        <v>103</v>
      </c>
      <c r="C1266" s="4">
        <v>42</v>
      </c>
      <c r="D1266" s="8">
        <v>1.87</v>
      </c>
      <c r="E1266" s="4">
        <v>3</v>
      </c>
      <c r="F1266" s="8">
        <v>0.35</v>
      </c>
      <c r="G1266" s="4">
        <v>39</v>
      </c>
      <c r="H1266" s="8">
        <v>2.84</v>
      </c>
      <c r="I1266" s="4">
        <v>0</v>
      </c>
    </row>
    <row r="1267" spans="1:9" x14ac:dyDescent="0.2">
      <c r="A1267" s="2">
        <v>17</v>
      </c>
      <c r="B1267" s="1" t="s">
        <v>106</v>
      </c>
      <c r="C1267" s="4">
        <v>41</v>
      </c>
      <c r="D1267" s="8">
        <v>1.83</v>
      </c>
      <c r="E1267" s="4">
        <v>31</v>
      </c>
      <c r="F1267" s="8">
        <v>3.6</v>
      </c>
      <c r="G1267" s="4">
        <v>10</v>
      </c>
      <c r="H1267" s="8">
        <v>0.73</v>
      </c>
      <c r="I1267" s="4">
        <v>0</v>
      </c>
    </row>
    <row r="1268" spans="1:9" x14ac:dyDescent="0.2">
      <c r="A1268" s="2">
        <v>18</v>
      </c>
      <c r="B1268" s="1" t="s">
        <v>109</v>
      </c>
      <c r="C1268" s="4">
        <v>37</v>
      </c>
      <c r="D1268" s="8">
        <v>1.65</v>
      </c>
      <c r="E1268" s="4">
        <v>3</v>
      </c>
      <c r="F1268" s="8">
        <v>0.35</v>
      </c>
      <c r="G1268" s="4">
        <v>34</v>
      </c>
      <c r="H1268" s="8">
        <v>2.48</v>
      </c>
      <c r="I1268" s="4">
        <v>0</v>
      </c>
    </row>
    <row r="1269" spans="1:9" x14ac:dyDescent="0.2">
      <c r="A1269" s="2">
        <v>19</v>
      </c>
      <c r="B1269" s="1" t="s">
        <v>144</v>
      </c>
      <c r="C1269" s="4">
        <v>36</v>
      </c>
      <c r="D1269" s="8">
        <v>1.61</v>
      </c>
      <c r="E1269" s="4">
        <v>6</v>
      </c>
      <c r="F1269" s="8">
        <v>0.7</v>
      </c>
      <c r="G1269" s="4">
        <v>30</v>
      </c>
      <c r="H1269" s="8">
        <v>2.19</v>
      </c>
      <c r="I1269" s="4">
        <v>0</v>
      </c>
    </row>
    <row r="1270" spans="1:9" x14ac:dyDescent="0.2">
      <c r="A1270" s="2">
        <v>20</v>
      </c>
      <c r="B1270" s="1" t="s">
        <v>111</v>
      </c>
      <c r="C1270" s="4">
        <v>34</v>
      </c>
      <c r="D1270" s="8">
        <v>1.52</v>
      </c>
      <c r="E1270" s="4">
        <v>16</v>
      </c>
      <c r="F1270" s="8">
        <v>1.86</v>
      </c>
      <c r="G1270" s="4">
        <v>18</v>
      </c>
      <c r="H1270" s="8">
        <v>1.31</v>
      </c>
      <c r="I1270" s="4">
        <v>0</v>
      </c>
    </row>
    <row r="1271" spans="1:9" x14ac:dyDescent="0.2">
      <c r="A1271" s="1"/>
      <c r="C1271" s="4"/>
      <c r="D1271" s="8"/>
      <c r="E1271" s="4"/>
      <c r="F1271" s="8"/>
      <c r="G1271" s="4"/>
      <c r="H1271" s="8"/>
      <c r="I1271" s="4"/>
    </row>
    <row r="1272" spans="1:9" x14ac:dyDescent="0.2">
      <c r="A1272" s="1" t="s">
        <v>57</v>
      </c>
      <c r="C1272" s="4"/>
      <c r="D1272" s="8"/>
      <c r="E1272" s="4"/>
      <c r="F1272" s="8"/>
      <c r="G1272" s="4"/>
      <c r="H1272" s="8"/>
      <c r="I1272" s="4"/>
    </row>
    <row r="1273" spans="1:9" x14ac:dyDescent="0.2">
      <c r="A1273" s="2">
        <v>1</v>
      </c>
      <c r="B1273" s="1" t="s">
        <v>114</v>
      </c>
      <c r="C1273" s="4">
        <v>123</v>
      </c>
      <c r="D1273" s="8">
        <v>10.95</v>
      </c>
      <c r="E1273" s="4">
        <v>104</v>
      </c>
      <c r="F1273" s="8">
        <v>17.600000000000001</v>
      </c>
      <c r="G1273" s="4">
        <v>19</v>
      </c>
      <c r="H1273" s="8">
        <v>3.6</v>
      </c>
      <c r="I1273" s="4">
        <v>0</v>
      </c>
    </row>
    <row r="1274" spans="1:9" x14ac:dyDescent="0.2">
      <c r="A1274" s="2">
        <v>2</v>
      </c>
      <c r="B1274" s="1" t="s">
        <v>113</v>
      </c>
      <c r="C1274" s="4">
        <v>118</v>
      </c>
      <c r="D1274" s="8">
        <v>10.51</v>
      </c>
      <c r="E1274" s="4">
        <v>106</v>
      </c>
      <c r="F1274" s="8">
        <v>17.940000000000001</v>
      </c>
      <c r="G1274" s="4">
        <v>12</v>
      </c>
      <c r="H1274" s="8">
        <v>2.27</v>
      </c>
      <c r="I1274" s="4">
        <v>0</v>
      </c>
    </row>
    <row r="1275" spans="1:9" x14ac:dyDescent="0.2">
      <c r="A1275" s="2">
        <v>3</v>
      </c>
      <c r="B1275" s="1" t="s">
        <v>110</v>
      </c>
      <c r="C1275" s="4">
        <v>107</v>
      </c>
      <c r="D1275" s="8">
        <v>9.5299999999999994</v>
      </c>
      <c r="E1275" s="4">
        <v>39</v>
      </c>
      <c r="F1275" s="8">
        <v>6.6</v>
      </c>
      <c r="G1275" s="4">
        <v>68</v>
      </c>
      <c r="H1275" s="8">
        <v>12.88</v>
      </c>
      <c r="I1275" s="4">
        <v>0</v>
      </c>
    </row>
    <row r="1276" spans="1:9" x14ac:dyDescent="0.2">
      <c r="A1276" s="2">
        <v>4</v>
      </c>
      <c r="B1276" s="1" t="s">
        <v>115</v>
      </c>
      <c r="C1276" s="4">
        <v>61</v>
      </c>
      <c r="D1276" s="8">
        <v>5.43</v>
      </c>
      <c r="E1276" s="4">
        <v>49</v>
      </c>
      <c r="F1276" s="8">
        <v>8.2899999999999991</v>
      </c>
      <c r="G1276" s="4">
        <v>11</v>
      </c>
      <c r="H1276" s="8">
        <v>2.08</v>
      </c>
      <c r="I1276" s="4">
        <v>0</v>
      </c>
    </row>
    <row r="1277" spans="1:9" x14ac:dyDescent="0.2">
      <c r="A1277" s="2">
        <v>5</v>
      </c>
      <c r="B1277" s="1" t="s">
        <v>98</v>
      </c>
      <c r="C1277" s="4">
        <v>59</v>
      </c>
      <c r="D1277" s="8">
        <v>5.25</v>
      </c>
      <c r="E1277" s="4">
        <v>10</v>
      </c>
      <c r="F1277" s="8">
        <v>1.69</v>
      </c>
      <c r="G1277" s="4">
        <v>49</v>
      </c>
      <c r="H1277" s="8">
        <v>9.2799999999999994</v>
      </c>
      <c r="I1277" s="4">
        <v>0</v>
      </c>
    </row>
    <row r="1278" spans="1:9" x14ac:dyDescent="0.2">
      <c r="A1278" s="2">
        <v>6</v>
      </c>
      <c r="B1278" s="1" t="s">
        <v>100</v>
      </c>
      <c r="C1278" s="4">
        <v>55</v>
      </c>
      <c r="D1278" s="8">
        <v>4.9000000000000004</v>
      </c>
      <c r="E1278" s="4">
        <v>4</v>
      </c>
      <c r="F1278" s="8">
        <v>0.68</v>
      </c>
      <c r="G1278" s="4">
        <v>51</v>
      </c>
      <c r="H1278" s="8">
        <v>9.66</v>
      </c>
      <c r="I1278" s="4">
        <v>0</v>
      </c>
    </row>
    <row r="1279" spans="1:9" x14ac:dyDescent="0.2">
      <c r="A1279" s="2">
        <v>6</v>
      </c>
      <c r="B1279" s="1" t="s">
        <v>108</v>
      </c>
      <c r="C1279" s="4">
        <v>55</v>
      </c>
      <c r="D1279" s="8">
        <v>4.9000000000000004</v>
      </c>
      <c r="E1279" s="4">
        <v>33</v>
      </c>
      <c r="F1279" s="8">
        <v>5.58</v>
      </c>
      <c r="G1279" s="4">
        <v>22</v>
      </c>
      <c r="H1279" s="8">
        <v>4.17</v>
      </c>
      <c r="I1279" s="4">
        <v>0</v>
      </c>
    </row>
    <row r="1280" spans="1:9" x14ac:dyDescent="0.2">
      <c r="A1280" s="2">
        <v>8</v>
      </c>
      <c r="B1280" s="1" t="s">
        <v>116</v>
      </c>
      <c r="C1280" s="4">
        <v>54</v>
      </c>
      <c r="D1280" s="8">
        <v>4.8099999999999996</v>
      </c>
      <c r="E1280" s="4">
        <v>45</v>
      </c>
      <c r="F1280" s="8">
        <v>7.61</v>
      </c>
      <c r="G1280" s="4">
        <v>9</v>
      </c>
      <c r="H1280" s="8">
        <v>1.7</v>
      </c>
      <c r="I1280" s="4">
        <v>0</v>
      </c>
    </row>
    <row r="1281" spans="1:9" x14ac:dyDescent="0.2">
      <c r="A1281" s="2">
        <v>9</v>
      </c>
      <c r="B1281" s="1" t="s">
        <v>106</v>
      </c>
      <c r="C1281" s="4">
        <v>52</v>
      </c>
      <c r="D1281" s="8">
        <v>4.63</v>
      </c>
      <c r="E1281" s="4">
        <v>46</v>
      </c>
      <c r="F1281" s="8">
        <v>7.78</v>
      </c>
      <c r="G1281" s="4">
        <v>6</v>
      </c>
      <c r="H1281" s="8">
        <v>1.1399999999999999</v>
      </c>
      <c r="I1281" s="4">
        <v>0</v>
      </c>
    </row>
    <row r="1282" spans="1:9" x14ac:dyDescent="0.2">
      <c r="A1282" s="2">
        <v>10</v>
      </c>
      <c r="B1282" s="1" t="s">
        <v>107</v>
      </c>
      <c r="C1282" s="4">
        <v>37</v>
      </c>
      <c r="D1282" s="8">
        <v>3.29</v>
      </c>
      <c r="E1282" s="4">
        <v>26</v>
      </c>
      <c r="F1282" s="8">
        <v>4.4000000000000004</v>
      </c>
      <c r="G1282" s="4">
        <v>11</v>
      </c>
      <c r="H1282" s="8">
        <v>2.08</v>
      </c>
      <c r="I1282" s="4">
        <v>0</v>
      </c>
    </row>
    <row r="1283" spans="1:9" x14ac:dyDescent="0.2">
      <c r="A1283" s="2">
        <v>11</v>
      </c>
      <c r="B1283" s="1" t="s">
        <v>111</v>
      </c>
      <c r="C1283" s="4">
        <v>27</v>
      </c>
      <c r="D1283" s="8">
        <v>2.4</v>
      </c>
      <c r="E1283" s="4">
        <v>14</v>
      </c>
      <c r="F1283" s="8">
        <v>2.37</v>
      </c>
      <c r="G1283" s="4">
        <v>13</v>
      </c>
      <c r="H1283" s="8">
        <v>2.46</v>
      </c>
      <c r="I1283" s="4">
        <v>0</v>
      </c>
    </row>
    <row r="1284" spans="1:9" x14ac:dyDescent="0.2">
      <c r="A1284" s="2">
        <v>12</v>
      </c>
      <c r="B1284" s="1" t="s">
        <v>99</v>
      </c>
      <c r="C1284" s="4">
        <v>26</v>
      </c>
      <c r="D1284" s="8">
        <v>2.3199999999999998</v>
      </c>
      <c r="E1284" s="4">
        <v>9</v>
      </c>
      <c r="F1284" s="8">
        <v>1.52</v>
      </c>
      <c r="G1284" s="4">
        <v>17</v>
      </c>
      <c r="H1284" s="8">
        <v>3.22</v>
      </c>
      <c r="I1284" s="4">
        <v>0</v>
      </c>
    </row>
    <row r="1285" spans="1:9" x14ac:dyDescent="0.2">
      <c r="A1285" s="2">
        <v>13</v>
      </c>
      <c r="B1285" s="1" t="s">
        <v>105</v>
      </c>
      <c r="C1285" s="4">
        <v>22</v>
      </c>
      <c r="D1285" s="8">
        <v>1.96</v>
      </c>
      <c r="E1285" s="4">
        <v>17</v>
      </c>
      <c r="F1285" s="8">
        <v>2.88</v>
      </c>
      <c r="G1285" s="4">
        <v>5</v>
      </c>
      <c r="H1285" s="8">
        <v>0.95</v>
      </c>
      <c r="I1285" s="4">
        <v>0</v>
      </c>
    </row>
    <row r="1286" spans="1:9" x14ac:dyDescent="0.2">
      <c r="A1286" s="2">
        <v>14</v>
      </c>
      <c r="B1286" s="1" t="s">
        <v>109</v>
      </c>
      <c r="C1286" s="4">
        <v>21</v>
      </c>
      <c r="D1286" s="8">
        <v>1.87</v>
      </c>
      <c r="E1286" s="4">
        <v>4</v>
      </c>
      <c r="F1286" s="8">
        <v>0.68</v>
      </c>
      <c r="G1286" s="4">
        <v>17</v>
      </c>
      <c r="H1286" s="8">
        <v>3.22</v>
      </c>
      <c r="I1286" s="4">
        <v>0</v>
      </c>
    </row>
    <row r="1287" spans="1:9" x14ac:dyDescent="0.2">
      <c r="A1287" s="2">
        <v>14</v>
      </c>
      <c r="B1287" s="1" t="s">
        <v>130</v>
      </c>
      <c r="C1287" s="4">
        <v>21</v>
      </c>
      <c r="D1287" s="8">
        <v>1.87</v>
      </c>
      <c r="E1287" s="4">
        <v>13</v>
      </c>
      <c r="F1287" s="8">
        <v>2.2000000000000002</v>
      </c>
      <c r="G1287" s="4">
        <v>7</v>
      </c>
      <c r="H1287" s="8">
        <v>1.33</v>
      </c>
      <c r="I1287" s="4">
        <v>0</v>
      </c>
    </row>
    <row r="1288" spans="1:9" x14ac:dyDescent="0.2">
      <c r="A1288" s="2">
        <v>16</v>
      </c>
      <c r="B1288" s="1" t="s">
        <v>129</v>
      </c>
      <c r="C1288" s="4">
        <v>20</v>
      </c>
      <c r="D1288" s="8">
        <v>1.78</v>
      </c>
      <c r="E1288" s="4">
        <v>14</v>
      </c>
      <c r="F1288" s="8">
        <v>2.37</v>
      </c>
      <c r="G1288" s="4">
        <v>6</v>
      </c>
      <c r="H1288" s="8">
        <v>1.1399999999999999</v>
      </c>
      <c r="I1288" s="4">
        <v>0</v>
      </c>
    </row>
    <row r="1289" spans="1:9" x14ac:dyDescent="0.2">
      <c r="A1289" s="2">
        <v>17</v>
      </c>
      <c r="B1289" s="1" t="s">
        <v>112</v>
      </c>
      <c r="C1289" s="4">
        <v>18</v>
      </c>
      <c r="D1289" s="8">
        <v>1.6</v>
      </c>
      <c r="E1289" s="4">
        <v>5</v>
      </c>
      <c r="F1289" s="8">
        <v>0.85</v>
      </c>
      <c r="G1289" s="4">
        <v>13</v>
      </c>
      <c r="H1289" s="8">
        <v>2.46</v>
      </c>
      <c r="I1289" s="4">
        <v>0</v>
      </c>
    </row>
    <row r="1290" spans="1:9" x14ac:dyDescent="0.2">
      <c r="A1290" s="2">
        <v>18</v>
      </c>
      <c r="B1290" s="1" t="s">
        <v>104</v>
      </c>
      <c r="C1290" s="4">
        <v>17</v>
      </c>
      <c r="D1290" s="8">
        <v>1.51</v>
      </c>
      <c r="E1290" s="4">
        <v>3</v>
      </c>
      <c r="F1290" s="8">
        <v>0.51</v>
      </c>
      <c r="G1290" s="4">
        <v>14</v>
      </c>
      <c r="H1290" s="8">
        <v>2.65</v>
      </c>
      <c r="I1290" s="4">
        <v>0</v>
      </c>
    </row>
    <row r="1291" spans="1:9" x14ac:dyDescent="0.2">
      <c r="A1291" s="2">
        <v>19</v>
      </c>
      <c r="B1291" s="1" t="s">
        <v>102</v>
      </c>
      <c r="C1291" s="4">
        <v>16</v>
      </c>
      <c r="D1291" s="8">
        <v>1.42</v>
      </c>
      <c r="E1291" s="4">
        <v>2</v>
      </c>
      <c r="F1291" s="8">
        <v>0.34</v>
      </c>
      <c r="G1291" s="4">
        <v>14</v>
      </c>
      <c r="H1291" s="8">
        <v>2.65</v>
      </c>
      <c r="I1291" s="4">
        <v>0</v>
      </c>
    </row>
    <row r="1292" spans="1:9" x14ac:dyDescent="0.2">
      <c r="A1292" s="2">
        <v>20</v>
      </c>
      <c r="B1292" s="1" t="s">
        <v>103</v>
      </c>
      <c r="C1292" s="4">
        <v>14</v>
      </c>
      <c r="D1292" s="8">
        <v>1.25</v>
      </c>
      <c r="E1292" s="4">
        <v>4</v>
      </c>
      <c r="F1292" s="8">
        <v>0.68</v>
      </c>
      <c r="G1292" s="4">
        <v>10</v>
      </c>
      <c r="H1292" s="8">
        <v>1.89</v>
      </c>
      <c r="I1292" s="4">
        <v>0</v>
      </c>
    </row>
    <row r="1293" spans="1:9" x14ac:dyDescent="0.2">
      <c r="A1293" s="2">
        <v>20</v>
      </c>
      <c r="B1293" s="1" t="s">
        <v>124</v>
      </c>
      <c r="C1293" s="4">
        <v>14</v>
      </c>
      <c r="D1293" s="8">
        <v>1.25</v>
      </c>
      <c r="E1293" s="4">
        <v>5</v>
      </c>
      <c r="F1293" s="8">
        <v>0.85</v>
      </c>
      <c r="G1293" s="4">
        <v>9</v>
      </c>
      <c r="H1293" s="8">
        <v>1.7</v>
      </c>
      <c r="I1293" s="4">
        <v>0</v>
      </c>
    </row>
    <row r="1294" spans="1:9" x14ac:dyDescent="0.2">
      <c r="A1294" s="1"/>
      <c r="C1294" s="4"/>
      <c r="D1294" s="8"/>
      <c r="E1294" s="4"/>
      <c r="F1294" s="8"/>
      <c r="G1294" s="4"/>
      <c r="H1294" s="8"/>
      <c r="I1294" s="4"/>
    </row>
    <row r="1295" spans="1:9" x14ac:dyDescent="0.2">
      <c r="A1295" s="1" t="s">
        <v>58</v>
      </c>
      <c r="C1295" s="4"/>
      <c r="D1295" s="8"/>
      <c r="E1295" s="4"/>
      <c r="F1295" s="8"/>
      <c r="G1295" s="4"/>
      <c r="H1295" s="8"/>
      <c r="I1295" s="4"/>
    </row>
    <row r="1296" spans="1:9" x14ac:dyDescent="0.2">
      <c r="A1296" s="2">
        <v>1</v>
      </c>
      <c r="B1296" s="1" t="s">
        <v>110</v>
      </c>
      <c r="C1296" s="4">
        <v>244</v>
      </c>
      <c r="D1296" s="8">
        <v>14.77</v>
      </c>
      <c r="E1296" s="4">
        <v>111</v>
      </c>
      <c r="F1296" s="8">
        <v>11.49</v>
      </c>
      <c r="G1296" s="4">
        <v>133</v>
      </c>
      <c r="H1296" s="8">
        <v>19.440000000000001</v>
      </c>
      <c r="I1296" s="4">
        <v>0</v>
      </c>
    </row>
    <row r="1297" spans="1:9" x14ac:dyDescent="0.2">
      <c r="A1297" s="2">
        <v>2</v>
      </c>
      <c r="B1297" s="1" t="s">
        <v>113</v>
      </c>
      <c r="C1297" s="4">
        <v>227</v>
      </c>
      <c r="D1297" s="8">
        <v>13.74</v>
      </c>
      <c r="E1297" s="4">
        <v>206</v>
      </c>
      <c r="F1297" s="8">
        <v>21.33</v>
      </c>
      <c r="G1297" s="4">
        <v>21</v>
      </c>
      <c r="H1297" s="8">
        <v>3.07</v>
      </c>
      <c r="I1297" s="4">
        <v>0</v>
      </c>
    </row>
    <row r="1298" spans="1:9" x14ac:dyDescent="0.2">
      <c r="A1298" s="2">
        <v>3</v>
      </c>
      <c r="B1298" s="1" t="s">
        <v>114</v>
      </c>
      <c r="C1298" s="4">
        <v>141</v>
      </c>
      <c r="D1298" s="8">
        <v>8.5399999999999991</v>
      </c>
      <c r="E1298" s="4">
        <v>123</v>
      </c>
      <c r="F1298" s="8">
        <v>12.73</v>
      </c>
      <c r="G1298" s="4">
        <v>18</v>
      </c>
      <c r="H1298" s="8">
        <v>2.63</v>
      </c>
      <c r="I1298" s="4">
        <v>0</v>
      </c>
    </row>
    <row r="1299" spans="1:9" x14ac:dyDescent="0.2">
      <c r="A1299" s="2">
        <v>4</v>
      </c>
      <c r="B1299" s="1" t="s">
        <v>108</v>
      </c>
      <c r="C1299" s="4">
        <v>96</v>
      </c>
      <c r="D1299" s="8">
        <v>5.81</v>
      </c>
      <c r="E1299" s="4">
        <v>55</v>
      </c>
      <c r="F1299" s="8">
        <v>5.69</v>
      </c>
      <c r="G1299" s="4">
        <v>41</v>
      </c>
      <c r="H1299" s="8">
        <v>5.99</v>
      </c>
      <c r="I1299" s="4">
        <v>0</v>
      </c>
    </row>
    <row r="1300" spans="1:9" x14ac:dyDescent="0.2">
      <c r="A1300" s="2">
        <v>5</v>
      </c>
      <c r="B1300" s="1" t="s">
        <v>98</v>
      </c>
      <c r="C1300" s="4">
        <v>84</v>
      </c>
      <c r="D1300" s="8">
        <v>5.08</v>
      </c>
      <c r="E1300" s="4">
        <v>25</v>
      </c>
      <c r="F1300" s="8">
        <v>2.59</v>
      </c>
      <c r="G1300" s="4">
        <v>59</v>
      </c>
      <c r="H1300" s="8">
        <v>8.6300000000000008</v>
      </c>
      <c r="I1300" s="4">
        <v>0</v>
      </c>
    </row>
    <row r="1301" spans="1:9" x14ac:dyDescent="0.2">
      <c r="A1301" s="2">
        <v>6</v>
      </c>
      <c r="B1301" s="1" t="s">
        <v>106</v>
      </c>
      <c r="C1301" s="4">
        <v>70</v>
      </c>
      <c r="D1301" s="8">
        <v>4.24</v>
      </c>
      <c r="E1301" s="4">
        <v>59</v>
      </c>
      <c r="F1301" s="8">
        <v>6.11</v>
      </c>
      <c r="G1301" s="4">
        <v>11</v>
      </c>
      <c r="H1301" s="8">
        <v>1.61</v>
      </c>
      <c r="I1301" s="4">
        <v>0</v>
      </c>
    </row>
    <row r="1302" spans="1:9" x14ac:dyDescent="0.2">
      <c r="A1302" s="2">
        <v>7</v>
      </c>
      <c r="B1302" s="1" t="s">
        <v>116</v>
      </c>
      <c r="C1302" s="4">
        <v>69</v>
      </c>
      <c r="D1302" s="8">
        <v>4.18</v>
      </c>
      <c r="E1302" s="4">
        <v>65</v>
      </c>
      <c r="F1302" s="8">
        <v>6.73</v>
      </c>
      <c r="G1302" s="4">
        <v>4</v>
      </c>
      <c r="H1302" s="8">
        <v>0.57999999999999996</v>
      </c>
      <c r="I1302" s="4">
        <v>0</v>
      </c>
    </row>
    <row r="1303" spans="1:9" x14ac:dyDescent="0.2">
      <c r="A1303" s="2">
        <v>8</v>
      </c>
      <c r="B1303" s="1" t="s">
        <v>115</v>
      </c>
      <c r="C1303" s="4">
        <v>67</v>
      </c>
      <c r="D1303" s="8">
        <v>4.0599999999999996</v>
      </c>
      <c r="E1303" s="4">
        <v>56</v>
      </c>
      <c r="F1303" s="8">
        <v>5.8</v>
      </c>
      <c r="G1303" s="4">
        <v>11</v>
      </c>
      <c r="H1303" s="8">
        <v>1.61</v>
      </c>
      <c r="I1303" s="4">
        <v>0</v>
      </c>
    </row>
    <row r="1304" spans="1:9" x14ac:dyDescent="0.2">
      <c r="A1304" s="2">
        <v>9</v>
      </c>
      <c r="B1304" s="1" t="s">
        <v>105</v>
      </c>
      <c r="C1304" s="4">
        <v>52</v>
      </c>
      <c r="D1304" s="8">
        <v>3.15</v>
      </c>
      <c r="E1304" s="4">
        <v>28</v>
      </c>
      <c r="F1304" s="8">
        <v>2.9</v>
      </c>
      <c r="G1304" s="4">
        <v>24</v>
      </c>
      <c r="H1304" s="8">
        <v>3.51</v>
      </c>
      <c r="I1304" s="4">
        <v>0</v>
      </c>
    </row>
    <row r="1305" spans="1:9" x14ac:dyDescent="0.2">
      <c r="A1305" s="2">
        <v>10</v>
      </c>
      <c r="B1305" s="1" t="s">
        <v>100</v>
      </c>
      <c r="C1305" s="4">
        <v>43</v>
      </c>
      <c r="D1305" s="8">
        <v>2.6</v>
      </c>
      <c r="E1305" s="4">
        <v>13</v>
      </c>
      <c r="F1305" s="8">
        <v>1.35</v>
      </c>
      <c r="G1305" s="4">
        <v>30</v>
      </c>
      <c r="H1305" s="8">
        <v>4.3899999999999997</v>
      </c>
      <c r="I1305" s="4">
        <v>0</v>
      </c>
    </row>
    <row r="1306" spans="1:9" x14ac:dyDescent="0.2">
      <c r="A1306" s="2">
        <v>11</v>
      </c>
      <c r="B1306" s="1" t="s">
        <v>107</v>
      </c>
      <c r="C1306" s="4">
        <v>41</v>
      </c>
      <c r="D1306" s="8">
        <v>2.48</v>
      </c>
      <c r="E1306" s="4">
        <v>25</v>
      </c>
      <c r="F1306" s="8">
        <v>2.59</v>
      </c>
      <c r="G1306" s="4">
        <v>16</v>
      </c>
      <c r="H1306" s="8">
        <v>2.34</v>
      </c>
      <c r="I1306" s="4">
        <v>0</v>
      </c>
    </row>
    <row r="1307" spans="1:9" x14ac:dyDescent="0.2">
      <c r="A1307" s="2">
        <v>12</v>
      </c>
      <c r="B1307" s="1" t="s">
        <v>109</v>
      </c>
      <c r="C1307" s="4">
        <v>40</v>
      </c>
      <c r="D1307" s="8">
        <v>2.42</v>
      </c>
      <c r="E1307" s="4">
        <v>13</v>
      </c>
      <c r="F1307" s="8">
        <v>1.35</v>
      </c>
      <c r="G1307" s="4">
        <v>27</v>
      </c>
      <c r="H1307" s="8">
        <v>3.95</v>
      </c>
      <c r="I1307" s="4">
        <v>0</v>
      </c>
    </row>
    <row r="1308" spans="1:9" x14ac:dyDescent="0.2">
      <c r="A1308" s="2">
        <v>13</v>
      </c>
      <c r="B1308" s="1" t="s">
        <v>99</v>
      </c>
      <c r="C1308" s="4">
        <v>39</v>
      </c>
      <c r="D1308" s="8">
        <v>2.36</v>
      </c>
      <c r="E1308" s="4">
        <v>16</v>
      </c>
      <c r="F1308" s="8">
        <v>1.66</v>
      </c>
      <c r="G1308" s="4">
        <v>23</v>
      </c>
      <c r="H1308" s="8">
        <v>3.36</v>
      </c>
      <c r="I1308" s="4">
        <v>0</v>
      </c>
    </row>
    <row r="1309" spans="1:9" x14ac:dyDescent="0.2">
      <c r="A1309" s="2">
        <v>13</v>
      </c>
      <c r="B1309" s="1" t="s">
        <v>111</v>
      </c>
      <c r="C1309" s="4">
        <v>39</v>
      </c>
      <c r="D1309" s="8">
        <v>2.36</v>
      </c>
      <c r="E1309" s="4">
        <v>21</v>
      </c>
      <c r="F1309" s="8">
        <v>2.17</v>
      </c>
      <c r="G1309" s="4">
        <v>18</v>
      </c>
      <c r="H1309" s="8">
        <v>2.63</v>
      </c>
      <c r="I1309" s="4">
        <v>0</v>
      </c>
    </row>
    <row r="1310" spans="1:9" x14ac:dyDescent="0.2">
      <c r="A1310" s="2">
        <v>15</v>
      </c>
      <c r="B1310" s="1" t="s">
        <v>101</v>
      </c>
      <c r="C1310" s="4">
        <v>30</v>
      </c>
      <c r="D1310" s="8">
        <v>1.82</v>
      </c>
      <c r="E1310" s="4">
        <v>13</v>
      </c>
      <c r="F1310" s="8">
        <v>1.35</v>
      </c>
      <c r="G1310" s="4">
        <v>17</v>
      </c>
      <c r="H1310" s="8">
        <v>2.4900000000000002</v>
      </c>
      <c r="I1310" s="4">
        <v>0</v>
      </c>
    </row>
    <row r="1311" spans="1:9" x14ac:dyDescent="0.2">
      <c r="A1311" s="2">
        <v>16</v>
      </c>
      <c r="B1311" s="1" t="s">
        <v>130</v>
      </c>
      <c r="C1311" s="4">
        <v>24</v>
      </c>
      <c r="D1311" s="8">
        <v>1.45</v>
      </c>
      <c r="E1311" s="4">
        <v>14</v>
      </c>
      <c r="F1311" s="8">
        <v>1.45</v>
      </c>
      <c r="G1311" s="4">
        <v>10</v>
      </c>
      <c r="H1311" s="8">
        <v>1.46</v>
      </c>
      <c r="I1311" s="4">
        <v>0</v>
      </c>
    </row>
    <row r="1312" spans="1:9" x14ac:dyDescent="0.2">
      <c r="A1312" s="2">
        <v>17</v>
      </c>
      <c r="B1312" s="1" t="s">
        <v>132</v>
      </c>
      <c r="C1312" s="4">
        <v>21</v>
      </c>
      <c r="D1312" s="8">
        <v>1.27</v>
      </c>
      <c r="E1312" s="4">
        <v>9</v>
      </c>
      <c r="F1312" s="8">
        <v>0.93</v>
      </c>
      <c r="G1312" s="4">
        <v>12</v>
      </c>
      <c r="H1312" s="8">
        <v>1.75</v>
      </c>
      <c r="I1312" s="4">
        <v>0</v>
      </c>
    </row>
    <row r="1313" spans="1:9" x14ac:dyDescent="0.2">
      <c r="A1313" s="2">
        <v>17</v>
      </c>
      <c r="B1313" s="1" t="s">
        <v>104</v>
      </c>
      <c r="C1313" s="4">
        <v>21</v>
      </c>
      <c r="D1313" s="8">
        <v>1.27</v>
      </c>
      <c r="E1313" s="4">
        <v>2</v>
      </c>
      <c r="F1313" s="8">
        <v>0.21</v>
      </c>
      <c r="G1313" s="4">
        <v>19</v>
      </c>
      <c r="H1313" s="8">
        <v>2.78</v>
      </c>
      <c r="I1313" s="4">
        <v>0</v>
      </c>
    </row>
    <row r="1314" spans="1:9" x14ac:dyDescent="0.2">
      <c r="A1314" s="2">
        <v>19</v>
      </c>
      <c r="B1314" s="1" t="s">
        <v>117</v>
      </c>
      <c r="C1314" s="4">
        <v>20</v>
      </c>
      <c r="D1314" s="8">
        <v>1.21</v>
      </c>
      <c r="E1314" s="4">
        <v>1</v>
      </c>
      <c r="F1314" s="8">
        <v>0.1</v>
      </c>
      <c r="G1314" s="4">
        <v>19</v>
      </c>
      <c r="H1314" s="8">
        <v>2.78</v>
      </c>
      <c r="I1314" s="4">
        <v>0</v>
      </c>
    </row>
    <row r="1315" spans="1:9" x14ac:dyDescent="0.2">
      <c r="A1315" s="2">
        <v>20</v>
      </c>
      <c r="B1315" s="1" t="s">
        <v>134</v>
      </c>
      <c r="C1315" s="4">
        <v>17</v>
      </c>
      <c r="D1315" s="8">
        <v>1.03</v>
      </c>
      <c r="E1315" s="4">
        <v>8</v>
      </c>
      <c r="F1315" s="8">
        <v>0.83</v>
      </c>
      <c r="G1315" s="4">
        <v>9</v>
      </c>
      <c r="H1315" s="8">
        <v>1.32</v>
      </c>
      <c r="I1315" s="4">
        <v>0</v>
      </c>
    </row>
    <row r="1316" spans="1:9" x14ac:dyDescent="0.2">
      <c r="A1316" s="2">
        <v>20</v>
      </c>
      <c r="B1316" s="1" t="s">
        <v>102</v>
      </c>
      <c r="C1316" s="4">
        <v>17</v>
      </c>
      <c r="D1316" s="8">
        <v>1.03</v>
      </c>
      <c r="E1316" s="4">
        <v>2</v>
      </c>
      <c r="F1316" s="8">
        <v>0.21</v>
      </c>
      <c r="G1316" s="4">
        <v>15</v>
      </c>
      <c r="H1316" s="8">
        <v>2.19</v>
      </c>
      <c r="I1316" s="4">
        <v>0</v>
      </c>
    </row>
    <row r="1317" spans="1:9" x14ac:dyDescent="0.2">
      <c r="A1317" s="2">
        <v>20</v>
      </c>
      <c r="B1317" s="1" t="s">
        <v>103</v>
      </c>
      <c r="C1317" s="4">
        <v>17</v>
      </c>
      <c r="D1317" s="8">
        <v>1.03</v>
      </c>
      <c r="E1317" s="4">
        <v>6</v>
      </c>
      <c r="F1317" s="8">
        <v>0.62</v>
      </c>
      <c r="G1317" s="4">
        <v>11</v>
      </c>
      <c r="H1317" s="8">
        <v>1.61</v>
      </c>
      <c r="I1317" s="4">
        <v>0</v>
      </c>
    </row>
    <row r="1318" spans="1:9" x14ac:dyDescent="0.2">
      <c r="A1318" s="2">
        <v>20</v>
      </c>
      <c r="B1318" s="1" t="s">
        <v>124</v>
      </c>
      <c r="C1318" s="4">
        <v>17</v>
      </c>
      <c r="D1318" s="8">
        <v>1.03</v>
      </c>
      <c r="E1318" s="4">
        <v>11</v>
      </c>
      <c r="F1318" s="8">
        <v>1.1399999999999999</v>
      </c>
      <c r="G1318" s="4">
        <v>6</v>
      </c>
      <c r="H1318" s="8">
        <v>0.88</v>
      </c>
      <c r="I1318" s="4">
        <v>0</v>
      </c>
    </row>
    <row r="1319" spans="1:9" x14ac:dyDescent="0.2">
      <c r="A1319" s="1"/>
      <c r="C1319" s="4"/>
      <c r="D1319" s="8"/>
      <c r="E1319" s="4"/>
      <c r="F1319" s="8"/>
      <c r="G1319" s="4"/>
      <c r="H1319" s="8"/>
      <c r="I1319" s="4"/>
    </row>
    <row r="1320" spans="1:9" x14ac:dyDescent="0.2">
      <c r="A1320" s="1" t="s">
        <v>59</v>
      </c>
      <c r="C1320" s="4"/>
      <c r="D1320" s="8"/>
      <c r="E1320" s="4"/>
      <c r="F1320" s="8"/>
      <c r="G1320" s="4"/>
      <c r="H1320" s="8"/>
      <c r="I1320" s="4"/>
    </row>
    <row r="1321" spans="1:9" x14ac:dyDescent="0.2">
      <c r="A1321" s="2">
        <v>1</v>
      </c>
      <c r="B1321" s="1" t="s">
        <v>110</v>
      </c>
      <c r="C1321" s="4">
        <v>1396</v>
      </c>
      <c r="D1321" s="8">
        <v>9.4700000000000006</v>
      </c>
      <c r="E1321" s="4">
        <v>264</v>
      </c>
      <c r="F1321" s="8">
        <v>3.73</v>
      </c>
      <c r="G1321" s="4">
        <v>1128</v>
      </c>
      <c r="H1321" s="8">
        <v>14.74</v>
      </c>
      <c r="I1321" s="4">
        <v>4</v>
      </c>
    </row>
    <row r="1322" spans="1:9" x14ac:dyDescent="0.2">
      <c r="A1322" s="2">
        <v>2</v>
      </c>
      <c r="B1322" s="1" t="s">
        <v>113</v>
      </c>
      <c r="C1322" s="4">
        <v>1314</v>
      </c>
      <c r="D1322" s="8">
        <v>8.91</v>
      </c>
      <c r="E1322" s="4">
        <v>1233</v>
      </c>
      <c r="F1322" s="8">
        <v>17.43</v>
      </c>
      <c r="G1322" s="4">
        <v>81</v>
      </c>
      <c r="H1322" s="8">
        <v>1.06</v>
      </c>
      <c r="I1322" s="4">
        <v>0</v>
      </c>
    </row>
    <row r="1323" spans="1:9" x14ac:dyDescent="0.2">
      <c r="A1323" s="2">
        <v>3</v>
      </c>
      <c r="B1323" s="1" t="s">
        <v>101</v>
      </c>
      <c r="C1323" s="4">
        <v>1146</v>
      </c>
      <c r="D1323" s="8">
        <v>7.77</v>
      </c>
      <c r="E1323" s="4">
        <v>513</v>
      </c>
      <c r="F1323" s="8">
        <v>7.25</v>
      </c>
      <c r="G1323" s="4">
        <v>633</v>
      </c>
      <c r="H1323" s="8">
        <v>8.27</v>
      </c>
      <c r="I1323" s="4">
        <v>0</v>
      </c>
    </row>
    <row r="1324" spans="1:9" x14ac:dyDescent="0.2">
      <c r="A1324" s="2">
        <v>4</v>
      </c>
      <c r="B1324" s="1" t="s">
        <v>114</v>
      </c>
      <c r="C1324" s="4">
        <v>946</v>
      </c>
      <c r="D1324" s="8">
        <v>6.42</v>
      </c>
      <c r="E1324" s="4">
        <v>834</v>
      </c>
      <c r="F1324" s="8">
        <v>11.79</v>
      </c>
      <c r="G1324" s="4">
        <v>112</v>
      </c>
      <c r="H1324" s="8">
        <v>1.46</v>
      </c>
      <c r="I1324" s="4">
        <v>0</v>
      </c>
    </row>
    <row r="1325" spans="1:9" x14ac:dyDescent="0.2">
      <c r="A1325" s="2">
        <v>5</v>
      </c>
      <c r="B1325" s="1" t="s">
        <v>108</v>
      </c>
      <c r="C1325" s="4">
        <v>630</v>
      </c>
      <c r="D1325" s="8">
        <v>4.2699999999999996</v>
      </c>
      <c r="E1325" s="4">
        <v>426</v>
      </c>
      <c r="F1325" s="8">
        <v>6.02</v>
      </c>
      <c r="G1325" s="4">
        <v>204</v>
      </c>
      <c r="H1325" s="8">
        <v>2.66</v>
      </c>
      <c r="I1325" s="4">
        <v>0</v>
      </c>
    </row>
    <row r="1326" spans="1:9" x14ac:dyDescent="0.2">
      <c r="A1326" s="2">
        <v>6</v>
      </c>
      <c r="B1326" s="1" t="s">
        <v>127</v>
      </c>
      <c r="C1326" s="4">
        <v>558</v>
      </c>
      <c r="D1326" s="8">
        <v>3.79</v>
      </c>
      <c r="E1326" s="4">
        <v>213</v>
      </c>
      <c r="F1326" s="8">
        <v>3.01</v>
      </c>
      <c r="G1326" s="4">
        <v>345</v>
      </c>
      <c r="H1326" s="8">
        <v>4.51</v>
      </c>
      <c r="I1326" s="4">
        <v>0</v>
      </c>
    </row>
    <row r="1327" spans="1:9" x14ac:dyDescent="0.2">
      <c r="A1327" s="2">
        <v>7</v>
      </c>
      <c r="B1327" s="1" t="s">
        <v>98</v>
      </c>
      <c r="C1327" s="4">
        <v>524</v>
      </c>
      <c r="D1327" s="8">
        <v>3.55</v>
      </c>
      <c r="E1327" s="4">
        <v>110</v>
      </c>
      <c r="F1327" s="8">
        <v>1.56</v>
      </c>
      <c r="G1327" s="4">
        <v>414</v>
      </c>
      <c r="H1327" s="8">
        <v>5.41</v>
      </c>
      <c r="I1327" s="4">
        <v>0</v>
      </c>
    </row>
    <row r="1328" spans="1:9" x14ac:dyDescent="0.2">
      <c r="A1328" s="2">
        <v>8</v>
      </c>
      <c r="B1328" s="1" t="s">
        <v>99</v>
      </c>
      <c r="C1328" s="4">
        <v>484</v>
      </c>
      <c r="D1328" s="8">
        <v>3.28</v>
      </c>
      <c r="E1328" s="4">
        <v>132</v>
      </c>
      <c r="F1328" s="8">
        <v>1.87</v>
      </c>
      <c r="G1328" s="4">
        <v>351</v>
      </c>
      <c r="H1328" s="8">
        <v>4.59</v>
      </c>
      <c r="I1328" s="4">
        <v>1</v>
      </c>
    </row>
    <row r="1329" spans="1:9" x14ac:dyDescent="0.2">
      <c r="A1329" s="2">
        <v>9</v>
      </c>
      <c r="B1329" s="1" t="s">
        <v>100</v>
      </c>
      <c r="C1329" s="4">
        <v>482</v>
      </c>
      <c r="D1329" s="8">
        <v>3.27</v>
      </c>
      <c r="E1329" s="4">
        <v>87</v>
      </c>
      <c r="F1329" s="8">
        <v>1.23</v>
      </c>
      <c r="G1329" s="4">
        <v>395</v>
      </c>
      <c r="H1329" s="8">
        <v>5.16</v>
      </c>
      <c r="I1329" s="4">
        <v>0</v>
      </c>
    </row>
    <row r="1330" spans="1:9" x14ac:dyDescent="0.2">
      <c r="A1330" s="2">
        <v>10</v>
      </c>
      <c r="B1330" s="1" t="s">
        <v>106</v>
      </c>
      <c r="C1330" s="4">
        <v>477</v>
      </c>
      <c r="D1330" s="8">
        <v>3.24</v>
      </c>
      <c r="E1330" s="4">
        <v>384</v>
      </c>
      <c r="F1330" s="8">
        <v>5.43</v>
      </c>
      <c r="G1330" s="4">
        <v>93</v>
      </c>
      <c r="H1330" s="8">
        <v>1.21</v>
      </c>
      <c r="I1330" s="4">
        <v>0</v>
      </c>
    </row>
    <row r="1331" spans="1:9" x14ac:dyDescent="0.2">
      <c r="A1331" s="2">
        <v>11</v>
      </c>
      <c r="B1331" s="1" t="s">
        <v>116</v>
      </c>
      <c r="C1331" s="4">
        <v>472</v>
      </c>
      <c r="D1331" s="8">
        <v>3.2</v>
      </c>
      <c r="E1331" s="4">
        <v>390</v>
      </c>
      <c r="F1331" s="8">
        <v>5.51</v>
      </c>
      <c r="G1331" s="4">
        <v>82</v>
      </c>
      <c r="H1331" s="8">
        <v>1.07</v>
      </c>
      <c r="I1331" s="4">
        <v>0</v>
      </c>
    </row>
    <row r="1332" spans="1:9" x14ac:dyDescent="0.2">
      <c r="A1332" s="2">
        <v>12</v>
      </c>
      <c r="B1332" s="1" t="s">
        <v>132</v>
      </c>
      <c r="C1332" s="4">
        <v>366</v>
      </c>
      <c r="D1332" s="8">
        <v>2.48</v>
      </c>
      <c r="E1332" s="4">
        <v>155</v>
      </c>
      <c r="F1332" s="8">
        <v>2.19</v>
      </c>
      <c r="G1332" s="4">
        <v>211</v>
      </c>
      <c r="H1332" s="8">
        <v>2.76</v>
      </c>
      <c r="I1332" s="4">
        <v>0</v>
      </c>
    </row>
    <row r="1333" spans="1:9" x14ac:dyDescent="0.2">
      <c r="A1333" s="2">
        <v>13</v>
      </c>
      <c r="B1333" s="1" t="s">
        <v>115</v>
      </c>
      <c r="C1333" s="4">
        <v>350</v>
      </c>
      <c r="D1333" s="8">
        <v>2.37</v>
      </c>
      <c r="E1333" s="4">
        <v>274</v>
      </c>
      <c r="F1333" s="8">
        <v>3.87</v>
      </c>
      <c r="G1333" s="4">
        <v>75</v>
      </c>
      <c r="H1333" s="8">
        <v>0.98</v>
      </c>
      <c r="I1333" s="4">
        <v>0</v>
      </c>
    </row>
    <row r="1334" spans="1:9" x14ac:dyDescent="0.2">
      <c r="A1334" s="2">
        <v>14</v>
      </c>
      <c r="B1334" s="1" t="s">
        <v>103</v>
      </c>
      <c r="C1334" s="4">
        <v>313</v>
      </c>
      <c r="D1334" s="8">
        <v>2.12</v>
      </c>
      <c r="E1334" s="4">
        <v>42</v>
      </c>
      <c r="F1334" s="8">
        <v>0.59</v>
      </c>
      <c r="G1334" s="4">
        <v>271</v>
      </c>
      <c r="H1334" s="8">
        <v>3.54</v>
      </c>
      <c r="I1334" s="4">
        <v>0</v>
      </c>
    </row>
    <row r="1335" spans="1:9" x14ac:dyDescent="0.2">
      <c r="A1335" s="2">
        <v>15</v>
      </c>
      <c r="B1335" s="1" t="s">
        <v>107</v>
      </c>
      <c r="C1335" s="4">
        <v>303</v>
      </c>
      <c r="D1335" s="8">
        <v>2.06</v>
      </c>
      <c r="E1335" s="4">
        <v>189</v>
      </c>
      <c r="F1335" s="8">
        <v>2.67</v>
      </c>
      <c r="G1335" s="4">
        <v>114</v>
      </c>
      <c r="H1335" s="8">
        <v>1.49</v>
      </c>
      <c r="I1335" s="4">
        <v>0</v>
      </c>
    </row>
    <row r="1336" spans="1:9" x14ac:dyDescent="0.2">
      <c r="A1336" s="2">
        <v>16</v>
      </c>
      <c r="B1336" s="1" t="s">
        <v>104</v>
      </c>
      <c r="C1336" s="4">
        <v>285</v>
      </c>
      <c r="D1336" s="8">
        <v>1.93</v>
      </c>
      <c r="E1336" s="4">
        <v>50</v>
      </c>
      <c r="F1336" s="8">
        <v>0.71</v>
      </c>
      <c r="G1336" s="4">
        <v>235</v>
      </c>
      <c r="H1336" s="8">
        <v>3.07</v>
      </c>
      <c r="I1336" s="4">
        <v>0</v>
      </c>
    </row>
    <row r="1337" spans="1:9" x14ac:dyDescent="0.2">
      <c r="A1337" s="2">
        <v>17</v>
      </c>
      <c r="B1337" s="1" t="s">
        <v>111</v>
      </c>
      <c r="C1337" s="4">
        <v>275</v>
      </c>
      <c r="D1337" s="8">
        <v>1.87</v>
      </c>
      <c r="E1337" s="4">
        <v>172</v>
      </c>
      <c r="F1337" s="8">
        <v>2.4300000000000002</v>
      </c>
      <c r="G1337" s="4">
        <v>103</v>
      </c>
      <c r="H1337" s="8">
        <v>1.35</v>
      </c>
      <c r="I1337" s="4">
        <v>0</v>
      </c>
    </row>
    <row r="1338" spans="1:9" x14ac:dyDescent="0.2">
      <c r="A1338" s="2">
        <v>18</v>
      </c>
      <c r="B1338" s="1" t="s">
        <v>105</v>
      </c>
      <c r="C1338" s="4">
        <v>274</v>
      </c>
      <c r="D1338" s="8">
        <v>1.86</v>
      </c>
      <c r="E1338" s="4">
        <v>197</v>
      </c>
      <c r="F1338" s="8">
        <v>2.79</v>
      </c>
      <c r="G1338" s="4">
        <v>77</v>
      </c>
      <c r="H1338" s="8">
        <v>1.01</v>
      </c>
      <c r="I1338" s="4">
        <v>0</v>
      </c>
    </row>
    <row r="1339" spans="1:9" x14ac:dyDescent="0.2">
      <c r="A1339" s="2">
        <v>19</v>
      </c>
      <c r="B1339" s="1" t="s">
        <v>102</v>
      </c>
      <c r="C1339" s="4">
        <v>259</v>
      </c>
      <c r="D1339" s="8">
        <v>1.76</v>
      </c>
      <c r="E1339" s="4">
        <v>59</v>
      </c>
      <c r="F1339" s="8">
        <v>0.83</v>
      </c>
      <c r="G1339" s="4">
        <v>200</v>
      </c>
      <c r="H1339" s="8">
        <v>2.61</v>
      </c>
      <c r="I1339" s="4">
        <v>0</v>
      </c>
    </row>
    <row r="1340" spans="1:9" x14ac:dyDescent="0.2">
      <c r="A1340" s="2">
        <v>20</v>
      </c>
      <c r="B1340" s="1" t="s">
        <v>121</v>
      </c>
      <c r="C1340" s="4">
        <v>242</v>
      </c>
      <c r="D1340" s="8">
        <v>1.64</v>
      </c>
      <c r="E1340" s="4">
        <v>91</v>
      </c>
      <c r="F1340" s="8">
        <v>1.29</v>
      </c>
      <c r="G1340" s="4">
        <v>151</v>
      </c>
      <c r="H1340" s="8">
        <v>1.97</v>
      </c>
      <c r="I1340" s="4">
        <v>0</v>
      </c>
    </row>
    <row r="1341" spans="1:9" x14ac:dyDescent="0.2">
      <c r="A1341" s="1"/>
      <c r="C1341" s="4"/>
      <c r="D1341" s="8"/>
      <c r="E1341" s="4"/>
      <c r="F1341" s="8"/>
      <c r="G1341" s="4"/>
      <c r="H1341" s="8"/>
      <c r="I1341" s="4"/>
    </row>
    <row r="1342" spans="1:9" x14ac:dyDescent="0.2">
      <c r="A1342" s="1" t="s">
        <v>60</v>
      </c>
      <c r="C1342" s="4"/>
      <c r="D1342" s="8"/>
      <c r="E1342" s="4"/>
      <c r="F1342" s="8"/>
      <c r="G1342" s="4"/>
      <c r="H1342" s="8"/>
      <c r="I1342" s="4"/>
    </row>
    <row r="1343" spans="1:9" x14ac:dyDescent="0.2">
      <c r="A1343" s="2">
        <v>1</v>
      </c>
      <c r="B1343" s="1" t="s">
        <v>110</v>
      </c>
      <c r="C1343" s="4">
        <v>102</v>
      </c>
      <c r="D1343" s="8">
        <v>9.35</v>
      </c>
      <c r="E1343" s="4">
        <v>61</v>
      </c>
      <c r="F1343" s="8">
        <v>9.8699999999999992</v>
      </c>
      <c r="G1343" s="4">
        <v>40</v>
      </c>
      <c r="H1343" s="8">
        <v>8.73</v>
      </c>
      <c r="I1343" s="4">
        <v>1</v>
      </c>
    </row>
    <row r="1344" spans="1:9" x14ac:dyDescent="0.2">
      <c r="A1344" s="2">
        <v>2</v>
      </c>
      <c r="B1344" s="1" t="s">
        <v>114</v>
      </c>
      <c r="C1344" s="4">
        <v>96</v>
      </c>
      <c r="D1344" s="8">
        <v>8.8000000000000007</v>
      </c>
      <c r="E1344" s="4">
        <v>88</v>
      </c>
      <c r="F1344" s="8">
        <v>14.24</v>
      </c>
      <c r="G1344" s="4">
        <v>8</v>
      </c>
      <c r="H1344" s="8">
        <v>1.75</v>
      </c>
      <c r="I1344" s="4">
        <v>0</v>
      </c>
    </row>
    <row r="1345" spans="1:9" x14ac:dyDescent="0.2">
      <c r="A1345" s="2">
        <v>3</v>
      </c>
      <c r="B1345" s="1" t="s">
        <v>113</v>
      </c>
      <c r="C1345" s="4">
        <v>89</v>
      </c>
      <c r="D1345" s="8">
        <v>8.16</v>
      </c>
      <c r="E1345" s="4">
        <v>81</v>
      </c>
      <c r="F1345" s="8">
        <v>13.11</v>
      </c>
      <c r="G1345" s="4">
        <v>8</v>
      </c>
      <c r="H1345" s="8">
        <v>1.75</v>
      </c>
      <c r="I1345" s="4">
        <v>0</v>
      </c>
    </row>
    <row r="1346" spans="1:9" x14ac:dyDescent="0.2">
      <c r="A1346" s="2">
        <v>4</v>
      </c>
      <c r="B1346" s="1" t="s">
        <v>108</v>
      </c>
      <c r="C1346" s="4">
        <v>75</v>
      </c>
      <c r="D1346" s="8">
        <v>6.87</v>
      </c>
      <c r="E1346" s="4">
        <v>50</v>
      </c>
      <c r="F1346" s="8">
        <v>8.09</v>
      </c>
      <c r="G1346" s="4">
        <v>25</v>
      </c>
      <c r="H1346" s="8">
        <v>5.46</v>
      </c>
      <c r="I1346" s="4">
        <v>0</v>
      </c>
    </row>
    <row r="1347" spans="1:9" x14ac:dyDescent="0.2">
      <c r="A1347" s="2">
        <v>5</v>
      </c>
      <c r="B1347" s="1" t="s">
        <v>98</v>
      </c>
      <c r="C1347" s="4">
        <v>70</v>
      </c>
      <c r="D1347" s="8">
        <v>6.42</v>
      </c>
      <c r="E1347" s="4">
        <v>15</v>
      </c>
      <c r="F1347" s="8">
        <v>2.4300000000000002</v>
      </c>
      <c r="G1347" s="4">
        <v>55</v>
      </c>
      <c r="H1347" s="8">
        <v>12.01</v>
      </c>
      <c r="I1347" s="4">
        <v>0</v>
      </c>
    </row>
    <row r="1348" spans="1:9" x14ac:dyDescent="0.2">
      <c r="A1348" s="2">
        <v>6</v>
      </c>
      <c r="B1348" s="1" t="s">
        <v>106</v>
      </c>
      <c r="C1348" s="4">
        <v>57</v>
      </c>
      <c r="D1348" s="8">
        <v>5.22</v>
      </c>
      <c r="E1348" s="4">
        <v>50</v>
      </c>
      <c r="F1348" s="8">
        <v>8.09</v>
      </c>
      <c r="G1348" s="4">
        <v>7</v>
      </c>
      <c r="H1348" s="8">
        <v>1.53</v>
      </c>
      <c r="I1348" s="4">
        <v>0</v>
      </c>
    </row>
    <row r="1349" spans="1:9" x14ac:dyDescent="0.2">
      <c r="A1349" s="2">
        <v>7</v>
      </c>
      <c r="B1349" s="1" t="s">
        <v>120</v>
      </c>
      <c r="C1349" s="4">
        <v>52</v>
      </c>
      <c r="D1349" s="8">
        <v>4.7699999999999996</v>
      </c>
      <c r="E1349" s="4">
        <v>29</v>
      </c>
      <c r="F1349" s="8">
        <v>4.6900000000000004</v>
      </c>
      <c r="G1349" s="4">
        <v>23</v>
      </c>
      <c r="H1349" s="8">
        <v>5.0199999999999996</v>
      </c>
      <c r="I1349" s="4">
        <v>0</v>
      </c>
    </row>
    <row r="1350" spans="1:9" x14ac:dyDescent="0.2">
      <c r="A1350" s="2">
        <v>8</v>
      </c>
      <c r="B1350" s="1" t="s">
        <v>115</v>
      </c>
      <c r="C1350" s="4">
        <v>44</v>
      </c>
      <c r="D1350" s="8">
        <v>4.03</v>
      </c>
      <c r="E1350" s="4">
        <v>34</v>
      </c>
      <c r="F1350" s="8">
        <v>5.5</v>
      </c>
      <c r="G1350" s="4">
        <v>6</v>
      </c>
      <c r="H1350" s="8">
        <v>1.31</v>
      </c>
      <c r="I1350" s="4">
        <v>0</v>
      </c>
    </row>
    <row r="1351" spans="1:9" x14ac:dyDescent="0.2">
      <c r="A1351" s="2">
        <v>9</v>
      </c>
      <c r="B1351" s="1" t="s">
        <v>107</v>
      </c>
      <c r="C1351" s="4">
        <v>43</v>
      </c>
      <c r="D1351" s="8">
        <v>3.94</v>
      </c>
      <c r="E1351" s="4">
        <v>32</v>
      </c>
      <c r="F1351" s="8">
        <v>5.18</v>
      </c>
      <c r="G1351" s="4">
        <v>11</v>
      </c>
      <c r="H1351" s="8">
        <v>2.4</v>
      </c>
      <c r="I1351" s="4">
        <v>0</v>
      </c>
    </row>
    <row r="1352" spans="1:9" x14ac:dyDescent="0.2">
      <c r="A1352" s="2">
        <v>10</v>
      </c>
      <c r="B1352" s="1" t="s">
        <v>100</v>
      </c>
      <c r="C1352" s="4">
        <v>42</v>
      </c>
      <c r="D1352" s="8">
        <v>3.85</v>
      </c>
      <c r="E1352" s="4">
        <v>11</v>
      </c>
      <c r="F1352" s="8">
        <v>1.78</v>
      </c>
      <c r="G1352" s="4">
        <v>31</v>
      </c>
      <c r="H1352" s="8">
        <v>6.77</v>
      </c>
      <c r="I1352" s="4">
        <v>0</v>
      </c>
    </row>
    <row r="1353" spans="1:9" x14ac:dyDescent="0.2">
      <c r="A1353" s="2">
        <v>11</v>
      </c>
      <c r="B1353" s="1" t="s">
        <v>116</v>
      </c>
      <c r="C1353" s="4">
        <v>37</v>
      </c>
      <c r="D1353" s="8">
        <v>3.39</v>
      </c>
      <c r="E1353" s="4">
        <v>35</v>
      </c>
      <c r="F1353" s="8">
        <v>5.66</v>
      </c>
      <c r="G1353" s="4">
        <v>2</v>
      </c>
      <c r="H1353" s="8">
        <v>0.44</v>
      </c>
      <c r="I1353" s="4">
        <v>0</v>
      </c>
    </row>
    <row r="1354" spans="1:9" x14ac:dyDescent="0.2">
      <c r="A1354" s="2">
        <v>12</v>
      </c>
      <c r="B1354" s="1" t="s">
        <v>99</v>
      </c>
      <c r="C1354" s="4">
        <v>34</v>
      </c>
      <c r="D1354" s="8">
        <v>3.12</v>
      </c>
      <c r="E1354" s="4">
        <v>17</v>
      </c>
      <c r="F1354" s="8">
        <v>2.75</v>
      </c>
      <c r="G1354" s="4">
        <v>17</v>
      </c>
      <c r="H1354" s="8">
        <v>3.71</v>
      </c>
      <c r="I1354" s="4">
        <v>0</v>
      </c>
    </row>
    <row r="1355" spans="1:9" x14ac:dyDescent="0.2">
      <c r="A1355" s="2">
        <v>13</v>
      </c>
      <c r="B1355" s="1" t="s">
        <v>117</v>
      </c>
      <c r="C1355" s="4">
        <v>30</v>
      </c>
      <c r="D1355" s="8">
        <v>2.75</v>
      </c>
      <c r="E1355" s="4">
        <v>0</v>
      </c>
      <c r="F1355" s="8">
        <v>0</v>
      </c>
      <c r="G1355" s="4">
        <v>22</v>
      </c>
      <c r="H1355" s="8">
        <v>4.8</v>
      </c>
      <c r="I1355" s="4">
        <v>0</v>
      </c>
    </row>
    <row r="1356" spans="1:9" x14ac:dyDescent="0.2">
      <c r="A1356" s="2">
        <v>14</v>
      </c>
      <c r="B1356" s="1" t="s">
        <v>105</v>
      </c>
      <c r="C1356" s="4">
        <v>29</v>
      </c>
      <c r="D1356" s="8">
        <v>2.66</v>
      </c>
      <c r="E1356" s="4">
        <v>7</v>
      </c>
      <c r="F1356" s="8">
        <v>1.1299999999999999</v>
      </c>
      <c r="G1356" s="4">
        <v>22</v>
      </c>
      <c r="H1356" s="8">
        <v>4.8</v>
      </c>
      <c r="I1356" s="4">
        <v>0</v>
      </c>
    </row>
    <row r="1357" spans="1:9" x14ac:dyDescent="0.2">
      <c r="A1357" s="2">
        <v>15</v>
      </c>
      <c r="B1357" s="1" t="s">
        <v>101</v>
      </c>
      <c r="C1357" s="4">
        <v>24</v>
      </c>
      <c r="D1357" s="8">
        <v>2.2000000000000002</v>
      </c>
      <c r="E1357" s="4">
        <v>12</v>
      </c>
      <c r="F1357" s="8">
        <v>1.94</v>
      </c>
      <c r="G1357" s="4">
        <v>12</v>
      </c>
      <c r="H1357" s="8">
        <v>2.62</v>
      </c>
      <c r="I1357" s="4">
        <v>0</v>
      </c>
    </row>
    <row r="1358" spans="1:9" x14ac:dyDescent="0.2">
      <c r="A1358" s="2">
        <v>16</v>
      </c>
      <c r="B1358" s="1" t="s">
        <v>130</v>
      </c>
      <c r="C1358" s="4">
        <v>19</v>
      </c>
      <c r="D1358" s="8">
        <v>1.74</v>
      </c>
      <c r="E1358" s="4">
        <v>12</v>
      </c>
      <c r="F1358" s="8">
        <v>1.94</v>
      </c>
      <c r="G1358" s="4">
        <v>7</v>
      </c>
      <c r="H1358" s="8">
        <v>1.53</v>
      </c>
      <c r="I1358" s="4">
        <v>0</v>
      </c>
    </row>
    <row r="1359" spans="1:9" x14ac:dyDescent="0.2">
      <c r="A1359" s="2">
        <v>17</v>
      </c>
      <c r="B1359" s="1" t="s">
        <v>112</v>
      </c>
      <c r="C1359" s="4">
        <v>16</v>
      </c>
      <c r="D1359" s="8">
        <v>1.47</v>
      </c>
      <c r="E1359" s="4">
        <v>8</v>
      </c>
      <c r="F1359" s="8">
        <v>1.29</v>
      </c>
      <c r="G1359" s="4">
        <v>8</v>
      </c>
      <c r="H1359" s="8">
        <v>1.75</v>
      </c>
      <c r="I1359" s="4">
        <v>0</v>
      </c>
    </row>
    <row r="1360" spans="1:9" x14ac:dyDescent="0.2">
      <c r="A1360" s="2">
        <v>18</v>
      </c>
      <c r="B1360" s="1" t="s">
        <v>123</v>
      </c>
      <c r="C1360" s="4">
        <v>15</v>
      </c>
      <c r="D1360" s="8">
        <v>1.37</v>
      </c>
      <c r="E1360" s="4">
        <v>0</v>
      </c>
      <c r="F1360" s="8">
        <v>0</v>
      </c>
      <c r="G1360" s="4">
        <v>15</v>
      </c>
      <c r="H1360" s="8">
        <v>3.28</v>
      </c>
      <c r="I1360" s="4">
        <v>0</v>
      </c>
    </row>
    <row r="1361" spans="1:9" x14ac:dyDescent="0.2">
      <c r="A1361" s="2">
        <v>19</v>
      </c>
      <c r="B1361" s="1" t="s">
        <v>102</v>
      </c>
      <c r="C1361" s="4">
        <v>14</v>
      </c>
      <c r="D1361" s="8">
        <v>1.28</v>
      </c>
      <c r="E1361" s="4">
        <v>6</v>
      </c>
      <c r="F1361" s="8">
        <v>0.97</v>
      </c>
      <c r="G1361" s="4">
        <v>8</v>
      </c>
      <c r="H1361" s="8">
        <v>1.75</v>
      </c>
      <c r="I1361" s="4">
        <v>0</v>
      </c>
    </row>
    <row r="1362" spans="1:9" x14ac:dyDescent="0.2">
      <c r="A1362" s="2">
        <v>20</v>
      </c>
      <c r="B1362" s="1" t="s">
        <v>111</v>
      </c>
      <c r="C1362" s="4">
        <v>13</v>
      </c>
      <c r="D1362" s="8">
        <v>1.19</v>
      </c>
      <c r="E1362" s="4">
        <v>11</v>
      </c>
      <c r="F1362" s="8">
        <v>1.78</v>
      </c>
      <c r="G1362" s="4">
        <v>2</v>
      </c>
      <c r="H1362" s="8">
        <v>0.44</v>
      </c>
      <c r="I1362" s="4">
        <v>0</v>
      </c>
    </row>
    <row r="1363" spans="1:9" x14ac:dyDescent="0.2">
      <c r="A1363" s="2">
        <v>20</v>
      </c>
      <c r="B1363" s="1" t="s">
        <v>145</v>
      </c>
      <c r="C1363" s="4">
        <v>13</v>
      </c>
      <c r="D1363" s="8">
        <v>1.19</v>
      </c>
      <c r="E1363" s="4">
        <v>11</v>
      </c>
      <c r="F1363" s="8">
        <v>1.78</v>
      </c>
      <c r="G1363" s="4">
        <v>2</v>
      </c>
      <c r="H1363" s="8">
        <v>0.44</v>
      </c>
      <c r="I1363" s="4">
        <v>0</v>
      </c>
    </row>
    <row r="1364" spans="1:9" x14ac:dyDescent="0.2">
      <c r="A1364" s="2">
        <v>20</v>
      </c>
      <c r="B1364" s="1" t="s">
        <v>129</v>
      </c>
      <c r="C1364" s="4">
        <v>13</v>
      </c>
      <c r="D1364" s="8">
        <v>1.19</v>
      </c>
      <c r="E1364" s="4">
        <v>11</v>
      </c>
      <c r="F1364" s="8">
        <v>1.78</v>
      </c>
      <c r="G1364" s="4">
        <v>2</v>
      </c>
      <c r="H1364" s="8">
        <v>0.44</v>
      </c>
      <c r="I1364" s="4">
        <v>0</v>
      </c>
    </row>
    <row r="1365" spans="1:9" x14ac:dyDescent="0.2">
      <c r="A1365" s="1"/>
      <c r="C1365" s="4"/>
      <c r="D1365" s="8"/>
      <c r="E1365" s="4"/>
      <c r="F1365" s="8"/>
      <c r="G1365" s="4"/>
      <c r="H1365" s="8"/>
      <c r="I1365" s="4"/>
    </row>
    <row r="1366" spans="1:9" x14ac:dyDescent="0.2">
      <c r="A1366" s="1" t="s">
        <v>61</v>
      </c>
      <c r="C1366" s="4"/>
      <c r="D1366" s="8"/>
      <c r="E1366" s="4"/>
      <c r="F1366" s="8"/>
      <c r="G1366" s="4"/>
      <c r="H1366" s="8"/>
      <c r="I1366" s="4"/>
    </row>
    <row r="1367" spans="1:9" x14ac:dyDescent="0.2">
      <c r="A1367" s="2">
        <v>1</v>
      </c>
      <c r="B1367" s="1" t="s">
        <v>110</v>
      </c>
      <c r="C1367" s="4">
        <v>206</v>
      </c>
      <c r="D1367" s="8">
        <v>18.07</v>
      </c>
      <c r="E1367" s="4">
        <v>136</v>
      </c>
      <c r="F1367" s="8">
        <v>21.62</v>
      </c>
      <c r="G1367" s="4">
        <v>69</v>
      </c>
      <c r="H1367" s="8">
        <v>13.66</v>
      </c>
      <c r="I1367" s="4">
        <v>1</v>
      </c>
    </row>
    <row r="1368" spans="1:9" x14ac:dyDescent="0.2">
      <c r="A1368" s="2">
        <v>2</v>
      </c>
      <c r="B1368" s="1" t="s">
        <v>113</v>
      </c>
      <c r="C1368" s="4">
        <v>114</v>
      </c>
      <c r="D1368" s="8">
        <v>10</v>
      </c>
      <c r="E1368" s="4">
        <v>112</v>
      </c>
      <c r="F1368" s="8">
        <v>17.809999999999999</v>
      </c>
      <c r="G1368" s="4">
        <v>2</v>
      </c>
      <c r="H1368" s="8">
        <v>0.4</v>
      </c>
      <c r="I1368" s="4">
        <v>0</v>
      </c>
    </row>
    <row r="1369" spans="1:9" x14ac:dyDescent="0.2">
      <c r="A1369" s="2">
        <v>3</v>
      </c>
      <c r="B1369" s="1" t="s">
        <v>114</v>
      </c>
      <c r="C1369" s="4">
        <v>111</v>
      </c>
      <c r="D1369" s="8">
        <v>9.74</v>
      </c>
      <c r="E1369" s="4">
        <v>96</v>
      </c>
      <c r="F1369" s="8">
        <v>15.26</v>
      </c>
      <c r="G1369" s="4">
        <v>15</v>
      </c>
      <c r="H1369" s="8">
        <v>2.97</v>
      </c>
      <c r="I1369" s="4">
        <v>0</v>
      </c>
    </row>
    <row r="1370" spans="1:9" x14ac:dyDescent="0.2">
      <c r="A1370" s="2">
        <v>4</v>
      </c>
      <c r="B1370" s="1" t="s">
        <v>98</v>
      </c>
      <c r="C1370" s="4">
        <v>74</v>
      </c>
      <c r="D1370" s="8">
        <v>6.49</v>
      </c>
      <c r="E1370" s="4">
        <v>10</v>
      </c>
      <c r="F1370" s="8">
        <v>1.59</v>
      </c>
      <c r="G1370" s="4">
        <v>64</v>
      </c>
      <c r="H1370" s="8">
        <v>12.67</v>
      </c>
      <c r="I1370" s="4">
        <v>0</v>
      </c>
    </row>
    <row r="1371" spans="1:9" x14ac:dyDescent="0.2">
      <c r="A1371" s="2">
        <v>5</v>
      </c>
      <c r="B1371" s="1" t="s">
        <v>108</v>
      </c>
      <c r="C1371" s="4">
        <v>67</v>
      </c>
      <c r="D1371" s="8">
        <v>5.88</v>
      </c>
      <c r="E1371" s="4">
        <v>34</v>
      </c>
      <c r="F1371" s="8">
        <v>5.41</v>
      </c>
      <c r="G1371" s="4">
        <v>33</v>
      </c>
      <c r="H1371" s="8">
        <v>6.53</v>
      </c>
      <c r="I1371" s="4">
        <v>0</v>
      </c>
    </row>
    <row r="1372" spans="1:9" x14ac:dyDescent="0.2">
      <c r="A1372" s="2">
        <v>6</v>
      </c>
      <c r="B1372" s="1" t="s">
        <v>115</v>
      </c>
      <c r="C1372" s="4">
        <v>50</v>
      </c>
      <c r="D1372" s="8">
        <v>4.3899999999999997</v>
      </c>
      <c r="E1372" s="4">
        <v>34</v>
      </c>
      <c r="F1372" s="8">
        <v>5.41</v>
      </c>
      <c r="G1372" s="4">
        <v>15</v>
      </c>
      <c r="H1372" s="8">
        <v>2.97</v>
      </c>
      <c r="I1372" s="4">
        <v>0</v>
      </c>
    </row>
    <row r="1373" spans="1:9" x14ac:dyDescent="0.2">
      <c r="A1373" s="2">
        <v>7</v>
      </c>
      <c r="B1373" s="1" t="s">
        <v>99</v>
      </c>
      <c r="C1373" s="4">
        <v>43</v>
      </c>
      <c r="D1373" s="8">
        <v>3.77</v>
      </c>
      <c r="E1373" s="4">
        <v>14</v>
      </c>
      <c r="F1373" s="8">
        <v>2.23</v>
      </c>
      <c r="G1373" s="4">
        <v>29</v>
      </c>
      <c r="H1373" s="8">
        <v>5.74</v>
      </c>
      <c r="I1373" s="4">
        <v>0</v>
      </c>
    </row>
    <row r="1374" spans="1:9" x14ac:dyDescent="0.2">
      <c r="A1374" s="2">
        <v>8</v>
      </c>
      <c r="B1374" s="1" t="s">
        <v>106</v>
      </c>
      <c r="C1374" s="4">
        <v>42</v>
      </c>
      <c r="D1374" s="8">
        <v>3.68</v>
      </c>
      <c r="E1374" s="4">
        <v>29</v>
      </c>
      <c r="F1374" s="8">
        <v>4.6100000000000003</v>
      </c>
      <c r="G1374" s="4">
        <v>13</v>
      </c>
      <c r="H1374" s="8">
        <v>2.57</v>
      </c>
      <c r="I1374" s="4">
        <v>0</v>
      </c>
    </row>
    <row r="1375" spans="1:9" x14ac:dyDescent="0.2">
      <c r="A1375" s="2">
        <v>9</v>
      </c>
      <c r="B1375" s="1" t="s">
        <v>100</v>
      </c>
      <c r="C1375" s="4">
        <v>41</v>
      </c>
      <c r="D1375" s="8">
        <v>3.6</v>
      </c>
      <c r="E1375" s="4">
        <v>11</v>
      </c>
      <c r="F1375" s="8">
        <v>1.75</v>
      </c>
      <c r="G1375" s="4">
        <v>30</v>
      </c>
      <c r="H1375" s="8">
        <v>5.94</v>
      </c>
      <c r="I1375" s="4">
        <v>0</v>
      </c>
    </row>
    <row r="1376" spans="1:9" x14ac:dyDescent="0.2">
      <c r="A1376" s="2">
        <v>10</v>
      </c>
      <c r="B1376" s="1" t="s">
        <v>105</v>
      </c>
      <c r="C1376" s="4">
        <v>35</v>
      </c>
      <c r="D1376" s="8">
        <v>3.07</v>
      </c>
      <c r="E1376" s="4">
        <v>13</v>
      </c>
      <c r="F1376" s="8">
        <v>2.0699999999999998</v>
      </c>
      <c r="G1376" s="4">
        <v>22</v>
      </c>
      <c r="H1376" s="8">
        <v>4.3600000000000003</v>
      </c>
      <c r="I1376" s="4">
        <v>0</v>
      </c>
    </row>
    <row r="1377" spans="1:9" x14ac:dyDescent="0.2">
      <c r="A1377" s="2">
        <v>11</v>
      </c>
      <c r="B1377" s="1" t="s">
        <v>116</v>
      </c>
      <c r="C1377" s="4">
        <v>30</v>
      </c>
      <c r="D1377" s="8">
        <v>2.63</v>
      </c>
      <c r="E1377" s="4">
        <v>20</v>
      </c>
      <c r="F1377" s="8">
        <v>3.18</v>
      </c>
      <c r="G1377" s="4">
        <v>10</v>
      </c>
      <c r="H1377" s="8">
        <v>1.98</v>
      </c>
      <c r="I1377" s="4">
        <v>0</v>
      </c>
    </row>
    <row r="1378" spans="1:9" x14ac:dyDescent="0.2">
      <c r="A1378" s="2">
        <v>12</v>
      </c>
      <c r="B1378" s="1" t="s">
        <v>107</v>
      </c>
      <c r="C1378" s="4">
        <v>26</v>
      </c>
      <c r="D1378" s="8">
        <v>2.2799999999999998</v>
      </c>
      <c r="E1378" s="4">
        <v>18</v>
      </c>
      <c r="F1378" s="8">
        <v>2.86</v>
      </c>
      <c r="G1378" s="4">
        <v>8</v>
      </c>
      <c r="H1378" s="8">
        <v>1.58</v>
      </c>
      <c r="I1378" s="4">
        <v>0</v>
      </c>
    </row>
    <row r="1379" spans="1:9" x14ac:dyDescent="0.2">
      <c r="A1379" s="2">
        <v>13</v>
      </c>
      <c r="B1379" s="1" t="s">
        <v>111</v>
      </c>
      <c r="C1379" s="4">
        <v>22</v>
      </c>
      <c r="D1379" s="8">
        <v>1.93</v>
      </c>
      <c r="E1379" s="4">
        <v>12</v>
      </c>
      <c r="F1379" s="8">
        <v>1.91</v>
      </c>
      <c r="G1379" s="4">
        <v>10</v>
      </c>
      <c r="H1379" s="8">
        <v>1.98</v>
      </c>
      <c r="I1379" s="4">
        <v>0</v>
      </c>
    </row>
    <row r="1380" spans="1:9" x14ac:dyDescent="0.2">
      <c r="A1380" s="2">
        <v>14</v>
      </c>
      <c r="B1380" s="1" t="s">
        <v>117</v>
      </c>
      <c r="C1380" s="4">
        <v>20</v>
      </c>
      <c r="D1380" s="8">
        <v>1.75</v>
      </c>
      <c r="E1380" s="4">
        <v>0</v>
      </c>
      <c r="F1380" s="8">
        <v>0</v>
      </c>
      <c r="G1380" s="4">
        <v>19</v>
      </c>
      <c r="H1380" s="8">
        <v>3.76</v>
      </c>
      <c r="I1380" s="4">
        <v>0</v>
      </c>
    </row>
    <row r="1381" spans="1:9" x14ac:dyDescent="0.2">
      <c r="A1381" s="2">
        <v>15</v>
      </c>
      <c r="B1381" s="1" t="s">
        <v>109</v>
      </c>
      <c r="C1381" s="4">
        <v>18</v>
      </c>
      <c r="D1381" s="8">
        <v>1.58</v>
      </c>
      <c r="E1381" s="4">
        <v>8</v>
      </c>
      <c r="F1381" s="8">
        <v>1.27</v>
      </c>
      <c r="G1381" s="4">
        <v>10</v>
      </c>
      <c r="H1381" s="8">
        <v>1.98</v>
      </c>
      <c r="I1381" s="4">
        <v>0</v>
      </c>
    </row>
    <row r="1382" spans="1:9" x14ac:dyDescent="0.2">
      <c r="A1382" s="2">
        <v>15</v>
      </c>
      <c r="B1382" s="1" t="s">
        <v>119</v>
      </c>
      <c r="C1382" s="4">
        <v>18</v>
      </c>
      <c r="D1382" s="8">
        <v>1.58</v>
      </c>
      <c r="E1382" s="4">
        <v>2</v>
      </c>
      <c r="F1382" s="8">
        <v>0.32</v>
      </c>
      <c r="G1382" s="4">
        <v>15</v>
      </c>
      <c r="H1382" s="8">
        <v>2.97</v>
      </c>
      <c r="I1382" s="4">
        <v>1</v>
      </c>
    </row>
    <row r="1383" spans="1:9" x14ac:dyDescent="0.2">
      <c r="A1383" s="2">
        <v>17</v>
      </c>
      <c r="B1383" s="1" t="s">
        <v>101</v>
      </c>
      <c r="C1383" s="4">
        <v>17</v>
      </c>
      <c r="D1383" s="8">
        <v>1.49</v>
      </c>
      <c r="E1383" s="4">
        <v>6</v>
      </c>
      <c r="F1383" s="8">
        <v>0.95</v>
      </c>
      <c r="G1383" s="4">
        <v>11</v>
      </c>
      <c r="H1383" s="8">
        <v>2.1800000000000002</v>
      </c>
      <c r="I1383" s="4">
        <v>0</v>
      </c>
    </row>
    <row r="1384" spans="1:9" x14ac:dyDescent="0.2">
      <c r="A1384" s="2">
        <v>17</v>
      </c>
      <c r="B1384" s="1" t="s">
        <v>103</v>
      </c>
      <c r="C1384" s="4">
        <v>17</v>
      </c>
      <c r="D1384" s="8">
        <v>1.49</v>
      </c>
      <c r="E1384" s="4">
        <v>0</v>
      </c>
      <c r="F1384" s="8">
        <v>0</v>
      </c>
      <c r="G1384" s="4">
        <v>17</v>
      </c>
      <c r="H1384" s="8">
        <v>3.37</v>
      </c>
      <c r="I1384" s="4">
        <v>0</v>
      </c>
    </row>
    <row r="1385" spans="1:9" x14ac:dyDescent="0.2">
      <c r="A1385" s="2">
        <v>17</v>
      </c>
      <c r="B1385" s="1" t="s">
        <v>130</v>
      </c>
      <c r="C1385" s="4">
        <v>17</v>
      </c>
      <c r="D1385" s="8">
        <v>1.49</v>
      </c>
      <c r="E1385" s="4">
        <v>9</v>
      </c>
      <c r="F1385" s="8">
        <v>1.43</v>
      </c>
      <c r="G1385" s="4">
        <v>8</v>
      </c>
      <c r="H1385" s="8">
        <v>1.58</v>
      </c>
      <c r="I1385" s="4">
        <v>0</v>
      </c>
    </row>
    <row r="1386" spans="1:9" x14ac:dyDescent="0.2">
      <c r="A1386" s="2">
        <v>20</v>
      </c>
      <c r="B1386" s="1" t="s">
        <v>112</v>
      </c>
      <c r="C1386" s="4">
        <v>13</v>
      </c>
      <c r="D1386" s="8">
        <v>1.1399999999999999</v>
      </c>
      <c r="E1386" s="4">
        <v>7</v>
      </c>
      <c r="F1386" s="8">
        <v>1.1100000000000001</v>
      </c>
      <c r="G1386" s="4">
        <v>6</v>
      </c>
      <c r="H1386" s="8">
        <v>1.19</v>
      </c>
      <c r="I1386" s="4">
        <v>0</v>
      </c>
    </row>
    <row r="1387" spans="1:9" x14ac:dyDescent="0.2">
      <c r="A1387" s="1"/>
      <c r="C1387" s="4"/>
      <c r="D1387" s="8"/>
      <c r="E1387" s="4"/>
      <c r="F1387" s="8"/>
      <c r="G1387" s="4"/>
      <c r="H1387" s="8"/>
      <c r="I1387" s="4"/>
    </row>
    <row r="1388" spans="1:9" x14ac:dyDescent="0.2">
      <c r="A1388" s="1" t="s">
        <v>62</v>
      </c>
      <c r="C1388" s="4"/>
      <c r="D1388" s="8"/>
      <c r="E1388" s="4"/>
      <c r="F1388" s="8"/>
      <c r="G1388" s="4"/>
      <c r="H1388" s="8"/>
      <c r="I1388" s="4"/>
    </row>
    <row r="1389" spans="1:9" x14ac:dyDescent="0.2">
      <c r="A1389" s="2">
        <v>1</v>
      </c>
      <c r="B1389" s="1" t="s">
        <v>114</v>
      </c>
      <c r="C1389" s="4">
        <v>108</v>
      </c>
      <c r="D1389" s="8">
        <v>9.48</v>
      </c>
      <c r="E1389" s="4">
        <v>96</v>
      </c>
      <c r="F1389" s="8">
        <v>15.87</v>
      </c>
      <c r="G1389" s="4">
        <v>12</v>
      </c>
      <c r="H1389" s="8">
        <v>2.27</v>
      </c>
      <c r="I1389" s="4">
        <v>0</v>
      </c>
    </row>
    <row r="1390" spans="1:9" x14ac:dyDescent="0.2">
      <c r="A1390" s="2">
        <v>2</v>
      </c>
      <c r="B1390" s="1" t="s">
        <v>113</v>
      </c>
      <c r="C1390" s="4">
        <v>94</v>
      </c>
      <c r="D1390" s="8">
        <v>8.25</v>
      </c>
      <c r="E1390" s="4">
        <v>82</v>
      </c>
      <c r="F1390" s="8">
        <v>13.55</v>
      </c>
      <c r="G1390" s="4">
        <v>12</v>
      </c>
      <c r="H1390" s="8">
        <v>2.27</v>
      </c>
      <c r="I1390" s="4">
        <v>0</v>
      </c>
    </row>
    <row r="1391" spans="1:9" x14ac:dyDescent="0.2">
      <c r="A1391" s="2">
        <v>3</v>
      </c>
      <c r="B1391" s="1" t="s">
        <v>110</v>
      </c>
      <c r="C1391" s="4">
        <v>89</v>
      </c>
      <c r="D1391" s="8">
        <v>7.81</v>
      </c>
      <c r="E1391" s="4">
        <v>24</v>
      </c>
      <c r="F1391" s="8">
        <v>3.97</v>
      </c>
      <c r="G1391" s="4">
        <v>65</v>
      </c>
      <c r="H1391" s="8">
        <v>12.31</v>
      </c>
      <c r="I1391" s="4">
        <v>0</v>
      </c>
    </row>
    <row r="1392" spans="1:9" x14ac:dyDescent="0.2">
      <c r="A1392" s="2">
        <v>4</v>
      </c>
      <c r="B1392" s="1" t="s">
        <v>115</v>
      </c>
      <c r="C1392" s="4">
        <v>87</v>
      </c>
      <c r="D1392" s="8">
        <v>7.64</v>
      </c>
      <c r="E1392" s="4">
        <v>65</v>
      </c>
      <c r="F1392" s="8">
        <v>10.74</v>
      </c>
      <c r="G1392" s="4">
        <v>19</v>
      </c>
      <c r="H1392" s="8">
        <v>3.6</v>
      </c>
      <c r="I1392" s="4">
        <v>0</v>
      </c>
    </row>
    <row r="1393" spans="1:9" x14ac:dyDescent="0.2">
      <c r="A1393" s="2">
        <v>5</v>
      </c>
      <c r="B1393" s="1" t="s">
        <v>98</v>
      </c>
      <c r="C1393" s="4">
        <v>77</v>
      </c>
      <c r="D1393" s="8">
        <v>6.76</v>
      </c>
      <c r="E1393" s="4">
        <v>19</v>
      </c>
      <c r="F1393" s="8">
        <v>3.14</v>
      </c>
      <c r="G1393" s="4">
        <v>58</v>
      </c>
      <c r="H1393" s="8">
        <v>10.98</v>
      </c>
      <c r="I1393" s="4">
        <v>0</v>
      </c>
    </row>
    <row r="1394" spans="1:9" x14ac:dyDescent="0.2">
      <c r="A1394" s="2">
        <v>6</v>
      </c>
      <c r="B1394" s="1" t="s">
        <v>108</v>
      </c>
      <c r="C1394" s="4">
        <v>67</v>
      </c>
      <c r="D1394" s="8">
        <v>5.88</v>
      </c>
      <c r="E1394" s="4">
        <v>42</v>
      </c>
      <c r="F1394" s="8">
        <v>6.94</v>
      </c>
      <c r="G1394" s="4">
        <v>25</v>
      </c>
      <c r="H1394" s="8">
        <v>4.7300000000000004</v>
      </c>
      <c r="I1394" s="4">
        <v>0</v>
      </c>
    </row>
    <row r="1395" spans="1:9" x14ac:dyDescent="0.2">
      <c r="A1395" s="2">
        <v>7</v>
      </c>
      <c r="B1395" s="1" t="s">
        <v>116</v>
      </c>
      <c r="C1395" s="4">
        <v>59</v>
      </c>
      <c r="D1395" s="8">
        <v>5.18</v>
      </c>
      <c r="E1395" s="4">
        <v>55</v>
      </c>
      <c r="F1395" s="8">
        <v>9.09</v>
      </c>
      <c r="G1395" s="4">
        <v>4</v>
      </c>
      <c r="H1395" s="8">
        <v>0.76</v>
      </c>
      <c r="I1395" s="4">
        <v>0</v>
      </c>
    </row>
    <row r="1396" spans="1:9" x14ac:dyDescent="0.2">
      <c r="A1396" s="2">
        <v>8</v>
      </c>
      <c r="B1396" s="1" t="s">
        <v>99</v>
      </c>
      <c r="C1396" s="4">
        <v>52</v>
      </c>
      <c r="D1396" s="8">
        <v>4.57</v>
      </c>
      <c r="E1396" s="4">
        <v>26</v>
      </c>
      <c r="F1396" s="8">
        <v>4.3</v>
      </c>
      <c r="G1396" s="4">
        <v>26</v>
      </c>
      <c r="H1396" s="8">
        <v>4.92</v>
      </c>
      <c r="I1396" s="4">
        <v>0</v>
      </c>
    </row>
    <row r="1397" spans="1:9" x14ac:dyDescent="0.2">
      <c r="A1397" s="2">
        <v>9</v>
      </c>
      <c r="B1397" s="1" t="s">
        <v>100</v>
      </c>
      <c r="C1397" s="4">
        <v>51</v>
      </c>
      <c r="D1397" s="8">
        <v>4.4800000000000004</v>
      </c>
      <c r="E1397" s="4">
        <v>11</v>
      </c>
      <c r="F1397" s="8">
        <v>1.82</v>
      </c>
      <c r="G1397" s="4">
        <v>40</v>
      </c>
      <c r="H1397" s="8">
        <v>7.58</v>
      </c>
      <c r="I1397" s="4">
        <v>0</v>
      </c>
    </row>
    <row r="1398" spans="1:9" x14ac:dyDescent="0.2">
      <c r="A1398" s="2">
        <v>10</v>
      </c>
      <c r="B1398" s="1" t="s">
        <v>107</v>
      </c>
      <c r="C1398" s="4">
        <v>41</v>
      </c>
      <c r="D1398" s="8">
        <v>3.6</v>
      </c>
      <c r="E1398" s="4">
        <v>27</v>
      </c>
      <c r="F1398" s="8">
        <v>4.46</v>
      </c>
      <c r="G1398" s="4">
        <v>14</v>
      </c>
      <c r="H1398" s="8">
        <v>2.65</v>
      </c>
      <c r="I1398" s="4">
        <v>0</v>
      </c>
    </row>
    <row r="1399" spans="1:9" x14ac:dyDescent="0.2">
      <c r="A1399" s="2">
        <v>11</v>
      </c>
      <c r="B1399" s="1" t="s">
        <v>106</v>
      </c>
      <c r="C1399" s="4">
        <v>39</v>
      </c>
      <c r="D1399" s="8">
        <v>3.42</v>
      </c>
      <c r="E1399" s="4">
        <v>34</v>
      </c>
      <c r="F1399" s="8">
        <v>5.62</v>
      </c>
      <c r="G1399" s="4">
        <v>5</v>
      </c>
      <c r="H1399" s="8">
        <v>0.95</v>
      </c>
      <c r="I1399" s="4">
        <v>0</v>
      </c>
    </row>
    <row r="1400" spans="1:9" x14ac:dyDescent="0.2">
      <c r="A1400" s="2">
        <v>12</v>
      </c>
      <c r="B1400" s="1" t="s">
        <v>111</v>
      </c>
      <c r="C1400" s="4">
        <v>34</v>
      </c>
      <c r="D1400" s="8">
        <v>2.99</v>
      </c>
      <c r="E1400" s="4">
        <v>18</v>
      </c>
      <c r="F1400" s="8">
        <v>2.98</v>
      </c>
      <c r="G1400" s="4">
        <v>16</v>
      </c>
      <c r="H1400" s="8">
        <v>3.03</v>
      </c>
      <c r="I1400" s="4">
        <v>0</v>
      </c>
    </row>
    <row r="1401" spans="1:9" x14ac:dyDescent="0.2">
      <c r="A1401" s="2">
        <v>13</v>
      </c>
      <c r="B1401" s="1" t="s">
        <v>112</v>
      </c>
      <c r="C1401" s="4">
        <v>31</v>
      </c>
      <c r="D1401" s="8">
        <v>2.72</v>
      </c>
      <c r="E1401" s="4">
        <v>20</v>
      </c>
      <c r="F1401" s="8">
        <v>3.31</v>
      </c>
      <c r="G1401" s="4">
        <v>11</v>
      </c>
      <c r="H1401" s="8">
        <v>2.08</v>
      </c>
      <c r="I1401" s="4">
        <v>0</v>
      </c>
    </row>
    <row r="1402" spans="1:9" x14ac:dyDescent="0.2">
      <c r="A1402" s="2">
        <v>14</v>
      </c>
      <c r="B1402" s="1" t="s">
        <v>109</v>
      </c>
      <c r="C1402" s="4">
        <v>21</v>
      </c>
      <c r="D1402" s="8">
        <v>1.84</v>
      </c>
      <c r="E1402" s="4">
        <v>2</v>
      </c>
      <c r="F1402" s="8">
        <v>0.33</v>
      </c>
      <c r="G1402" s="4">
        <v>19</v>
      </c>
      <c r="H1402" s="8">
        <v>3.6</v>
      </c>
      <c r="I1402" s="4">
        <v>0</v>
      </c>
    </row>
    <row r="1403" spans="1:9" x14ac:dyDescent="0.2">
      <c r="A1403" s="2">
        <v>15</v>
      </c>
      <c r="B1403" s="1" t="s">
        <v>105</v>
      </c>
      <c r="C1403" s="4">
        <v>20</v>
      </c>
      <c r="D1403" s="8">
        <v>1.76</v>
      </c>
      <c r="E1403" s="4">
        <v>13</v>
      </c>
      <c r="F1403" s="8">
        <v>2.15</v>
      </c>
      <c r="G1403" s="4">
        <v>7</v>
      </c>
      <c r="H1403" s="8">
        <v>1.33</v>
      </c>
      <c r="I1403" s="4">
        <v>0</v>
      </c>
    </row>
    <row r="1404" spans="1:9" x14ac:dyDescent="0.2">
      <c r="A1404" s="2">
        <v>16</v>
      </c>
      <c r="B1404" s="1" t="s">
        <v>117</v>
      </c>
      <c r="C1404" s="4">
        <v>18</v>
      </c>
      <c r="D1404" s="8">
        <v>1.58</v>
      </c>
      <c r="E1404" s="4">
        <v>0</v>
      </c>
      <c r="F1404" s="8">
        <v>0</v>
      </c>
      <c r="G1404" s="4">
        <v>18</v>
      </c>
      <c r="H1404" s="8">
        <v>3.41</v>
      </c>
      <c r="I1404" s="4">
        <v>0</v>
      </c>
    </row>
    <row r="1405" spans="1:9" x14ac:dyDescent="0.2">
      <c r="A1405" s="2">
        <v>17</v>
      </c>
      <c r="B1405" s="1" t="s">
        <v>129</v>
      </c>
      <c r="C1405" s="4">
        <v>15</v>
      </c>
      <c r="D1405" s="8">
        <v>1.32</v>
      </c>
      <c r="E1405" s="4">
        <v>12</v>
      </c>
      <c r="F1405" s="8">
        <v>1.98</v>
      </c>
      <c r="G1405" s="4">
        <v>3</v>
      </c>
      <c r="H1405" s="8">
        <v>0.56999999999999995</v>
      </c>
      <c r="I1405" s="4">
        <v>0</v>
      </c>
    </row>
    <row r="1406" spans="1:9" x14ac:dyDescent="0.2">
      <c r="A1406" s="2">
        <v>18</v>
      </c>
      <c r="B1406" s="1" t="s">
        <v>127</v>
      </c>
      <c r="C1406" s="4">
        <v>14</v>
      </c>
      <c r="D1406" s="8">
        <v>1.23</v>
      </c>
      <c r="E1406" s="4">
        <v>3</v>
      </c>
      <c r="F1406" s="8">
        <v>0.5</v>
      </c>
      <c r="G1406" s="4">
        <v>11</v>
      </c>
      <c r="H1406" s="8">
        <v>2.08</v>
      </c>
      <c r="I1406" s="4">
        <v>0</v>
      </c>
    </row>
    <row r="1407" spans="1:9" x14ac:dyDescent="0.2">
      <c r="A1407" s="2">
        <v>18</v>
      </c>
      <c r="B1407" s="1" t="s">
        <v>130</v>
      </c>
      <c r="C1407" s="4">
        <v>14</v>
      </c>
      <c r="D1407" s="8">
        <v>1.23</v>
      </c>
      <c r="E1407" s="4">
        <v>8</v>
      </c>
      <c r="F1407" s="8">
        <v>1.32</v>
      </c>
      <c r="G1407" s="4">
        <v>6</v>
      </c>
      <c r="H1407" s="8">
        <v>1.1399999999999999</v>
      </c>
      <c r="I1407" s="4">
        <v>0</v>
      </c>
    </row>
    <row r="1408" spans="1:9" x14ac:dyDescent="0.2">
      <c r="A1408" s="2">
        <v>20</v>
      </c>
      <c r="B1408" s="1" t="s">
        <v>135</v>
      </c>
      <c r="C1408" s="4">
        <v>13</v>
      </c>
      <c r="D1408" s="8">
        <v>1.1399999999999999</v>
      </c>
      <c r="E1408" s="4">
        <v>2</v>
      </c>
      <c r="F1408" s="8">
        <v>0.33</v>
      </c>
      <c r="G1408" s="4">
        <v>11</v>
      </c>
      <c r="H1408" s="8">
        <v>2.08</v>
      </c>
      <c r="I1408" s="4">
        <v>0</v>
      </c>
    </row>
    <row r="1409" spans="1:9" x14ac:dyDescent="0.2">
      <c r="A1409" s="1"/>
      <c r="C1409" s="4"/>
      <c r="D1409" s="8"/>
      <c r="E1409" s="4"/>
      <c r="F1409" s="8"/>
      <c r="G1409" s="4"/>
      <c r="H1409" s="8"/>
      <c r="I1409" s="4"/>
    </row>
    <row r="1410" spans="1:9" x14ac:dyDescent="0.2">
      <c r="A1410" s="1" t="s">
        <v>63</v>
      </c>
      <c r="C1410" s="4"/>
      <c r="D1410" s="8"/>
      <c r="E1410" s="4"/>
      <c r="F1410" s="8"/>
      <c r="G1410" s="4"/>
      <c r="H1410" s="8"/>
      <c r="I1410" s="4"/>
    </row>
    <row r="1411" spans="1:9" x14ac:dyDescent="0.2">
      <c r="A1411" s="2">
        <v>1</v>
      </c>
      <c r="B1411" s="1" t="s">
        <v>110</v>
      </c>
      <c r="C1411" s="4">
        <v>136</v>
      </c>
      <c r="D1411" s="8">
        <v>12.88</v>
      </c>
      <c r="E1411" s="4">
        <v>51</v>
      </c>
      <c r="F1411" s="8">
        <v>8.99</v>
      </c>
      <c r="G1411" s="4">
        <v>85</v>
      </c>
      <c r="H1411" s="8">
        <v>17.489999999999998</v>
      </c>
      <c r="I1411" s="4">
        <v>0</v>
      </c>
    </row>
    <row r="1412" spans="1:9" x14ac:dyDescent="0.2">
      <c r="A1412" s="2">
        <v>2</v>
      </c>
      <c r="B1412" s="1" t="s">
        <v>114</v>
      </c>
      <c r="C1412" s="4">
        <v>117</v>
      </c>
      <c r="D1412" s="8">
        <v>11.08</v>
      </c>
      <c r="E1412" s="4">
        <v>91</v>
      </c>
      <c r="F1412" s="8">
        <v>16.05</v>
      </c>
      <c r="G1412" s="4">
        <v>26</v>
      </c>
      <c r="H1412" s="8">
        <v>5.35</v>
      </c>
      <c r="I1412" s="4">
        <v>0</v>
      </c>
    </row>
    <row r="1413" spans="1:9" x14ac:dyDescent="0.2">
      <c r="A1413" s="2">
        <v>3</v>
      </c>
      <c r="B1413" s="1" t="s">
        <v>113</v>
      </c>
      <c r="C1413" s="4">
        <v>92</v>
      </c>
      <c r="D1413" s="8">
        <v>8.7100000000000009</v>
      </c>
      <c r="E1413" s="4">
        <v>86</v>
      </c>
      <c r="F1413" s="8">
        <v>15.17</v>
      </c>
      <c r="G1413" s="4">
        <v>6</v>
      </c>
      <c r="H1413" s="8">
        <v>1.23</v>
      </c>
      <c r="I1413" s="4">
        <v>0</v>
      </c>
    </row>
    <row r="1414" spans="1:9" x14ac:dyDescent="0.2">
      <c r="A1414" s="2">
        <v>4</v>
      </c>
      <c r="B1414" s="1" t="s">
        <v>98</v>
      </c>
      <c r="C1414" s="4">
        <v>65</v>
      </c>
      <c r="D1414" s="8">
        <v>6.16</v>
      </c>
      <c r="E1414" s="4">
        <v>17</v>
      </c>
      <c r="F1414" s="8">
        <v>3</v>
      </c>
      <c r="G1414" s="4">
        <v>48</v>
      </c>
      <c r="H1414" s="8">
        <v>9.8800000000000008</v>
      </c>
      <c r="I1414" s="4">
        <v>0</v>
      </c>
    </row>
    <row r="1415" spans="1:9" x14ac:dyDescent="0.2">
      <c r="A1415" s="2">
        <v>5</v>
      </c>
      <c r="B1415" s="1" t="s">
        <v>108</v>
      </c>
      <c r="C1415" s="4">
        <v>62</v>
      </c>
      <c r="D1415" s="8">
        <v>5.87</v>
      </c>
      <c r="E1415" s="4">
        <v>38</v>
      </c>
      <c r="F1415" s="8">
        <v>6.7</v>
      </c>
      <c r="G1415" s="4">
        <v>24</v>
      </c>
      <c r="H1415" s="8">
        <v>4.9400000000000004</v>
      </c>
      <c r="I1415" s="4">
        <v>0</v>
      </c>
    </row>
    <row r="1416" spans="1:9" x14ac:dyDescent="0.2">
      <c r="A1416" s="2">
        <v>6</v>
      </c>
      <c r="B1416" s="1" t="s">
        <v>115</v>
      </c>
      <c r="C1416" s="4">
        <v>61</v>
      </c>
      <c r="D1416" s="8">
        <v>5.78</v>
      </c>
      <c r="E1416" s="4">
        <v>46</v>
      </c>
      <c r="F1416" s="8">
        <v>8.11</v>
      </c>
      <c r="G1416" s="4">
        <v>12</v>
      </c>
      <c r="H1416" s="8">
        <v>2.4700000000000002</v>
      </c>
      <c r="I1416" s="4">
        <v>0</v>
      </c>
    </row>
    <row r="1417" spans="1:9" x14ac:dyDescent="0.2">
      <c r="A1417" s="2">
        <v>7</v>
      </c>
      <c r="B1417" s="1" t="s">
        <v>116</v>
      </c>
      <c r="C1417" s="4">
        <v>60</v>
      </c>
      <c r="D1417" s="8">
        <v>5.68</v>
      </c>
      <c r="E1417" s="4">
        <v>52</v>
      </c>
      <c r="F1417" s="8">
        <v>9.17</v>
      </c>
      <c r="G1417" s="4">
        <v>8</v>
      </c>
      <c r="H1417" s="8">
        <v>1.65</v>
      </c>
      <c r="I1417" s="4">
        <v>0</v>
      </c>
    </row>
    <row r="1418" spans="1:9" x14ac:dyDescent="0.2">
      <c r="A1418" s="2">
        <v>8</v>
      </c>
      <c r="B1418" s="1" t="s">
        <v>107</v>
      </c>
      <c r="C1418" s="4">
        <v>36</v>
      </c>
      <c r="D1418" s="8">
        <v>3.41</v>
      </c>
      <c r="E1418" s="4">
        <v>22</v>
      </c>
      <c r="F1418" s="8">
        <v>3.88</v>
      </c>
      <c r="G1418" s="4">
        <v>14</v>
      </c>
      <c r="H1418" s="8">
        <v>2.88</v>
      </c>
      <c r="I1418" s="4">
        <v>0</v>
      </c>
    </row>
    <row r="1419" spans="1:9" x14ac:dyDescent="0.2">
      <c r="A1419" s="2">
        <v>9</v>
      </c>
      <c r="B1419" s="1" t="s">
        <v>100</v>
      </c>
      <c r="C1419" s="4">
        <v>30</v>
      </c>
      <c r="D1419" s="8">
        <v>2.84</v>
      </c>
      <c r="E1419" s="4">
        <v>8</v>
      </c>
      <c r="F1419" s="8">
        <v>1.41</v>
      </c>
      <c r="G1419" s="4">
        <v>22</v>
      </c>
      <c r="H1419" s="8">
        <v>4.53</v>
      </c>
      <c r="I1419" s="4">
        <v>0</v>
      </c>
    </row>
    <row r="1420" spans="1:9" x14ac:dyDescent="0.2">
      <c r="A1420" s="2">
        <v>10</v>
      </c>
      <c r="B1420" s="1" t="s">
        <v>99</v>
      </c>
      <c r="C1420" s="4">
        <v>28</v>
      </c>
      <c r="D1420" s="8">
        <v>2.65</v>
      </c>
      <c r="E1420" s="4">
        <v>5</v>
      </c>
      <c r="F1420" s="8">
        <v>0.88</v>
      </c>
      <c r="G1420" s="4">
        <v>23</v>
      </c>
      <c r="H1420" s="8">
        <v>4.7300000000000004</v>
      </c>
      <c r="I1420" s="4">
        <v>0</v>
      </c>
    </row>
    <row r="1421" spans="1:9" x14ac:dyDescent="0.2">
      <c r="A1421" s="2">
        <v>11</v>
      </c>
      <c r="B1421" s="1" t="s">
        <v>106</v>
      </c>
      <c r="C1421" s="4">
        <v>27</v>
      </c>
      <c r="D1421" s="8">
        <v>2.56</v>
      </c>
      <c r="E1421" s="4">
        <v>17</v>
      </c>
      <c r="F1421" s="8">
        <v>3</v>
      </c>
      <c r="G1421" s="4">
        <v>10</v>
      </c>
      <c r="H1421" s="8">
        <v>2.06</v>
      </c>
      <c r="I1421" s="4">
        <v>0</v>
      </c>
    </row>
    <row r="1422" spans="1:9" x14ac:dyDescent="0.2">
      <c r="A1422" s="2">
        <v>12</v>
      </c>
      <c r="B1422" s="1" t="s">
        <v>111</v>
      </c>
      <c r="C1422" s="4">
        <v>23</v>
      </c>
      <c r="D1422" s="8">
        <v>2.1800000000000002</v>
      </c>
      <c r="E1422" s="4">
        <v>12</v>
      </c>
      <c r="F1422" s="8">
        <v>2.12</v>
      </c>
      <c r="G1422" s="4">
        <v>11</v>
      </c>
      <c r="H1422" s="8">
        <v>2.2599999999999998</v>
      </c>
      <c r="I1422" s="4">
        <v>0</v>
      </c>
    </row>
    <row r="1423" spans="1:9" x14ac:dyDescent="0.2">
      <c r="A1423" s="2">
        <v>13</v>
      </c>
      <c r="B1423" s="1" t="s">
        <v>112</v>
      </c>
      <c r="C1423" s="4">
        <v>22</v>
      </c>
      <c r="D1423" s="8">
        <v>2.08</v>
      </c>
      <c r="E1423" s="4">
        <v>9</v>
      </c>
      <c r="F1423" s="8">
        <v>1.59</v>
      </c>
      <c r="G1423" s="4">
        <v>13</v>
      </c>
      <c r="H1423" s="8">
        <v>2.67</v>
      </c>
      <c r="I1423" s="4">
        <v>0</v>
      </c>
    </row>
    <row r="1424" spans="1:9" x14ac:dyDescent="0.2">
      <c r="A1424" s="2">
        <v>13</v>
      </c>
      <c r="B1424" s="1" t="s">
        <v>117</v>
      </c>
      <c r="C1424" s="4">
        <v>22</v>
      </c>
      <c r="D1424" s="8">
        <v>2.08</v>
      </c>
      <c r="E1424" s="4">
        <v>0</v>
      </c>
      <c r="F1424" s="8">
        <v>0</v>
      </c>
      <c r="G1424" s="4">
        <v>22</v>
      </c>
      <c r="H1424" s="8">
        <v>4.53</v>
      </c>
      <c r="I1424" s="4">
        <v>0</v>
      </c>
    </row>
    <row r="1425" spans="1:9" x14ac:dyDescent="0.2">
      <c r="A1425" s="2">
        <v>15</v>
      </c>
      <c r="B1425" s="1" t="s">
        <v>101</v>
      </c>
      <c r="C1425" s="4">
        <v>20</v>
      </c>
      <c r="D1425" s="8">
        <v>1.89</v>
      </c>
      <c r="E1425" s="4">
        <v>8</v>
      </c>
      <c r="F1425" s="8">
        <v>1.41</v>
      </c>
      <c r="G1425" s="4">
        <v>12</v>
      </c>
      <c r="H1425" s="8">
        <v>2.4700000000000002</v>
      </c>
      <c r="I1425" s="4">
        <v>0</v>
      </c>
    </row>
    <row r="1426" spans="1:9" x14ac:dyDescent="0.2">
      <c r="A1426" s="2">
        <v>15</v>
      </c>
      <c r="B1426" s="1" t="s">
        <v>104</v>
      </c>
      <c r="C1426" s="4">
        <v>20</v>
      </c>
      <c r="D1426" s="8">
        <v>1.89</v>
      </c>
      <c r="E1426" s="4">
        <v>4</v>
      </c>
      <c r="F1426" s="8">
        <v>0.71</v>
      </c>
      <c r="G1426" s="4">
        <v>16</v>
      </c>
      <c r="H1426" s="8">
        <v>3.29</v>
      </c>
      <c r="I1426" s="4">
        <v>0</v>
      </c>
    </row>
    <row r="1427" spans="1:9" x14ac:dyDescent="0.2">
      <c r="A1427" s="2">
        <v>15</v>
      </c>
      <c r="B1427" s="1" t="s">
        <v>105</v>
      </c>
      <c r="C1427" s="4">
        <v>20</v>
      </c>
      <c r="D1427" s="8">
        <v>1.89</v>
      </c>
      <c r="E1427" s="4">
        <v>16</v>
      </c>
      <c r="F1427" s="8">
        <v>2.82</v>
      </c>
      <c r="G1427" s="4">
        <v>4</v>
      </c>
      <c r="H1427" s="8">
        <v>0.82</v>
      </c>
      <c r="I1427" s="4">
        <v>0</v>
      </c>
    </row>
    <row r="1428" spans="1:9" x14ac:dyDescent="0.2">
      <c r="A1428" s="2">
        <v>18</v>
      </c>
      <c r="B1428" s="1" t="s">
        <v>109</v>
      </c>
      <c r="C1428" s="4">
        <v>19</v>
      </c>
      <c r="D1428" s="8">
        <v>1.8</v>
      </c>
      <c r="E1428" s="4">
        <v>3</v>
      </c>
      <c r="F1428" s="8">
        <v>0.53</v>
      </c>
      <c r="G1428" s="4">
        <v>16</v>
      </c>
      <c r="H1428" s="8">
        <v>3.29</v>
      </c>
      <c r="I1428" s="4">
        <v>0</v>
      </c>
    </row>
    <row r="1429" spans="1:9" x14ac:dyDescent="0.2">
      <c r="A1429" s="2">
        <v>19</v>
      </c>
      <c r="B1429" s="1" t="s">
        <v>129</v>
      </c>
      <c r="C1429" s="4">
        <v>17</v>
      </c>
      <c r="D1429" s="8">
        <v>1.61</v>
      </c>
      <c r="E1429" s="4">
        <v>15</v>
      </c>
      <c r="F1429" s="8">
        <v>2.65</v>
      </c>
      <c r="G1429" s="4">
        <v>2</v>
      </c>
      <c r="H1429" s="8">
        <v>0.41</v>
      </c>
      <c r="I1429" s="4">
        <v>0</v>
      </c>
    </row>
    <row r="1430" spans="1:9" x14ac:dyDescent="0.2">
      <c r="A1430" s="2">
        <v>20</v>
      </c>
      <c r="B1430" s="1" t="s">
        <v>135</v>
      </c>
      <c r="C1430" s="4">
        <v>13</v>
      </c>
      <c r="D1430" s="8">
        <v>1.23</v>
      </c>
      <c r="E1430" s="4">
        <v>2</v>
      </c>
      <c r="F1430" s="8">
        <v>0.35</v>
      </c>
      <c r="G1430" s="4">
        <v>11</v>
      </c>
      <c r="H1430" s="8">
        <v>2.2599999999999998</v>
      </c>
      <c r="I1430" s="4">
        <v>0</v>
      </c>
    </row>
    <row r="1431" spans="1:9" x14ac:dyDescent="0.2">
      <c r="A1431" s="2">
        <v>20</v>
      </c>
      <c r="B1431" s="1" t="s">
        <v>130</v>
      </c>
      <c r="C1431" s="4">
        <v>13</v>
      </c>
      <c r="D1431" s="8">
        <v>1.23</v>
      </c>
      <c r="E1431" s="4">
        <v>7</v>
      </c>
      <c r="F1431" s="8">
        <v>1.23</v>
      </c>
      <c r="G1431" s="4">
        <v>6</v>
      </c>
      <c r="H1431" s="8">
        <v>1.23</v>
      </c>
      <c r="I1431" s="4">
        <v>0</v>
      </c>
    </row>
    <row r="1432" spans="1:9" x14ac:dyDescent="0.2">
      <c r="A1432" s="1"/>
      <c r="C1432" s="4"/>
      <c r="D1432" s="8"/>
      <c r="E1432" s="4"/>
      <c r="F1432" s="8"/>
      <c r="G1432" s="4"/>
      <c r="H1432" s="8"/>
      <c r="I1432" s="4"/>
    </row>
    <row r="1433" spans="1:9" x14ac:dyDescent="0.2">
      <c r="A1433" s="1" t="s">
        <v>64</v>
      </c>
      <c r="C1433" s="4"/>
      <c r="D1433" s="8"/>
      <c r="E1433" s="4"/>
      <c r="F1433" s="8"/>
      <c r="G1433" s="4"/>
      <c r="H1433" s="8"/>
      <c r="I1433" s="4"/>
    </row>
    <row r="1434" spans="1:9" x14ac:dyDescent="0.2">
      <c r="A1434" s="2">
        <v>1</v>
      </c>
      <c r="B1434" s="1" t="s">
        <v>114</v>
      </c>
      <c r="C1434" s="4">
        <v>99</v>
      </c>
      <c r="D1434" s="8">
        <v>10.73</v>
      </c>
      <c r="E1434" s="4">
        <v>86</v>
      </c>
      <c r="F1434" s="8">
        <v>15.33</v>
      </c>
      <c r="G1434" s="4">
        <v>13</v>
      </c>
      <c r="H1434" s="8">
        <v>3.61</v>
      </c>
      <c r="I1434" s="4">
        <v>0</v>
      </c>
    </row>
    <row r="1435" spans="1:9" x14ac:dyDescent="0.2">
      <c r="A1435" s="2">
        <v>2</v>
      </c>
      <c r="B1435" s="1" t="s">
        <v>108</v>
      </c>
      <c r="C1435" s="4">
        <v>74</v>
      </c>
      <c r="D1435" s="8">
        <v>8.02</v>
      </c>
      <c r="E1435" s="4">
        <v>46</v>
      </c>
      <c r="F1435" s="8">
        <v>8.1999999999999993</v>
      </c>
      <c r="G1435" s="4">
        <v>28</v>
      </c>
      <c r="H1435" s="8">
        <v>7.78</v>
      </c>
      <c r="I1435" s="4">
        <v>0</v>
      </c>
    </row>
    <row r="1436" spans="1:9" x14ac:dyDescent="0.2">
      <c r="A1436" s="2">
        <v>2</v>
      </c>
      <c r="B1436" s="1" t="s">
        <v>110</v>
      </c>
      <c r="C1436" s="4">
        <v>74</v>
      </c>
      <c r="D1436" s="8">
        <v>8.02</v>
      </c>
      <c r="E1436" s="4">
        <v>47</v>
      </c>
      <c r="F1436" s="8">
        <v>8.3800000000000008</v>
      </c>
      <c r="G1436" s="4">
        <v>27</v>
      </c>
      <c r="H1436" s="8">
        <v>7.5</v>
      </c>
      <c r="I1436" s="4">
        <v>0</v>
      </c>
    </row>
    <row r="1437" spans="1:9" x14ac:dyDescent="0.2">
      <c r="A1437" s="2">
        <v>4</v>
      </c>
      <c r="B1437" s="1" t="s">
        <v>98</v>
      </c>
      <c r="C1437" s="4">
        <v>73</v>
      </c>
      <c r="D1437" s="8">
        <v>7.91</v>
      </c>
      <c r="E1437" s="4">
        <v>17</v>
      </c>
      <c r="F1437" s="8">
        <v>3.03</v>
      </c>
      <c r="G1437" s="4">
        <v>56</v>
      </c>
      <c r="H1437" s="8">
        <v>15.56</v>
      </c>
      <c r="I1437" s="4">
        <v>0</v>
      </c>
    </row>
    <row r="1438" spans="1:9" x14ac:dyDescent="0.2">
      <c r="A1438" s="2">
        <v>4</v>
      </c>
      <c r="B1438" s="1" t="s">
        <v>113</v>
      </c>
      <c r="C1438" s="4">
        <v>73</v>
      </c>
      <c r="D1438" s="8">
        <v>7.91</v>
      </c>
      <c r="E1438" s="4">
        <v>68</v>
      </c>
      <c r="F1438" s="8">
        <v>12.12</v>
      </c>
      <c r="G1438" s="4">
        <v>5</v>
      </c>
      <c r="H1438" s="8">
        <v>1.39</v>
      </c>
      <c r="I1438" s="4">
        <v>0</v>
      </c>
    </row>
    <row r="1439" spans="1:9" x14ac:dyDescent="0.2">
      <c r="A1439" s="2">
        <v>6</v>
      </c>
      <c r="B1439" s="1" t="s">
        <v>106</v>
      </c>
      <c r="C1439" s="4">
        <v>49</v>
      </c>
      <c r="D1439" s="8">
        <v>5.31</v>
      </c>
      <c r="E1439" s="4">
        <v>43</v>
      </c>
      <c r="F1439" s="8">
        <v>7.66</v>
      </c>
      <c r="G1439" s="4">
        <v>6</v>
      </c>
      <c r="H1439" s="8">
        <v>1.67</v>
      </c>
      <c r="I1439" s="4">
        <v>0</v>
      </c>
    </row>
    <row r="1440" spans="1:9" x14ac:dyDescent="0.2">
      <c r="A1440" s="2">
        <v>7</v>
      </c>
      <c r="B1440" s="1" t="s">
        <v>115</v>
      </c>
      <c r="C1440" s="4">
        <v>43</v>
      </c>
      <c r="D1440" s="8">
        <v>4.66</v>
      </c>
      <c r="E1440" s="4">
        <v>36</v>
      </c>
      <c r="F1440" s="8">
        <v>6.42</v>
      </c>
      <c r="G1440" s="4">
        <v>6</v>
      </c>
      <c r="H1440" s="8">
        <v>1.67</v>
      </c>
      <c r="I1440" s="4">
        <v>0</v>
      </c>
    </row>
    <row r="1441" spans="1:9" x14ac:dyDescent="0.2">
      <c r="A1441" s="2">
        <v>7</v>
      </c>
      <c r="B1441" s="1" t="s">
        <v>116</v>
      </c>
      <c r="C1441" s="4">
        <v>43</v>
      </c>
      <c r="D1441" s="8">
        <v>4.66</v>
      </c>
      <c r="E1441" s="4">
        <v>38</v>
      </c>
      <c r="F1441" s="8">
        <v>6.77</v>
      </c>
      <c r="G1441" s="4">
        <v>5</v>
      </c>
      <c r="H1441" s="8">
        <v>1.39</v>
      </c>
      <c r="I1441" s="4">
        <v>0</v>
      </c>
    </row>
    <row r="1442" spans="1:9" x14ac:dyDescent="0.2">
      <c r="A1442" s="2">
        <v>9</v>
      </c>
      <c r="B1442" s="1" t="s">
        <v>100</v>
      </c>
      <c r="C1442" s="4">
        <v>41</v>
      </c>
      <c r="D1442" s="8">
        <v>4.4400000000000004</v>
      </c>
      <c r="E1442" s="4">
        <v>13</v>
      </c>
      <c r="F1442" s="8">
        <v>2.3199999999999998</v>
      </c>
      <c r="G1442" s="4">
        <v>28</v>
      </c>
      <c r="H1442" s="8">
        <v>7.78</v>
      </c>
      <c r="I1442" s="4">
        <v>0</v>
      </c>
    </row>
    <row r="1443" spans="1:9" x14ac:dyDescent="0.2">
      <c r="A1443" s="2">
        <v>10</v>
      </c>
      <c r="B1443" s="1" t="s">
        <v>99</v>
      </c>
      <c r="C1443" s="4">
        <v>37</v>
      </c>
      <c r="D1443" s="8">
        <v>4.01</v>
      </c>
      <c r="E1443" s="4">
        <v>16</v>
      </c>
      <c r="F1443" s="8">
        <v>2.85</v>
      </c>
      <c r="G1443" s="4">
        <v>21</v>
      </c>
      <c r="H1443" s="8">
        <v>5.83</v>
      </c>
      <c r="I1443" s="4">
        <v>0</v>
      </c>
    </row>
    <row r="1444" spans="1:9" x14ac:dyDescent="0.2">
      <c r="A1444" s="2">
        <v>11</v>
      </c>
      <c r="B1444" s="1" t="s">
        <v>107</v>
      </c>
      <c r="C1444" s="4">
        <v>28</v>
      </c>
      <c r="D1444" s="8">
        <v>3.03</v>
      </c>
      <c r="E1444" s="4">
        <v>25</v>
      </c>
      <c r="F1444" s="8">
        <v>4.46</v>
      </c>
      <c r="G1444" s="4">
        <v>3</v>
      </c>
      <c r="H1444" s="8">
        <v>0.83</v>
      </c>
      <c r="I1444" s="4">
        <v>0</v>
      </c>
    </row>
    <row r="1445" spans="1:9" x14ac:dyDescent="0.2">
      <c r="A1445" s="2">
        <v>12</v>
      </c>
      <c r="B1445" s="1" t="s">
        <v>111</v>
      </c>
      <c r="C1445" s="4">
        <v>25</v>
      </c>
      <c r="D1445" s="8">
        <v>2.71</v>
      </c>
      <c r="E1445" s="4">
        <v>15</v>
      </c>
      <c r="F1445" s="8">
        <v>2.67</v>
      </c>
      <c r="G1445" s="4">
        <v>10</v>
      </c>
      <c r="H1445" s="8">
        <v>2.78</v>
      </c>
      <c r="I1445" s="4">
        <v>0</v>
      </c>
    </row>
    <row r="1446" spans="1:9" x14ac:dyDescent="0.2">
      <c r="A1446" s="2">
        <v>13</v>
      </c>
      <c r="B1446" s="1" t="s">
        <v>120</v>
      </c>
      <c r="C1446" s="4">
        <v>21</v>
      </c>
      <c r="D1446" s="8">
        <v>2.2799999999999998</v>
      </c>
      <c r="E1446" s="4">
        <v>16</v>
      </c>
      <c r="F1446" s="8">
        <v>2.85</v>
      </c>
      <c r="G1446" s="4">
        <v>5</v>
      </c>
      <c r="H1446" s="8">
        <v>1.39</v>
      </c>
      <c r="I1446" s="4">
        <v>0</v>
      </c>
    </row>
    <row r="1447" spans="1:9" x14ac:dyDescent="0.2">
      <c r="A1447" s="2">
        <v>13</v>
      </c>
      <c r="B1447" s="1" t="s">
        <v>112</v>
      </c>
      <c r="C1447" s="4">
        <v>21</v>
      </c>
      <c r="D1447" s="8">
        <v>2.2799999999999998</v>
      </c>
      <c r="E1447" s="4">
        <v>11</v>
      </c>
      <c r="F1447" s="8">
        <v>1.96</v>
      </c>
      <c r="G1447" s="4">
        <v>10</v>
      </c>
      <c r="H1447" s="8">
        <v>2.78</v>
      </c>
      <c r="I1447" s="4">
        <v>0</v>
      </c>
    </row>
    <row r="1448" spans="1:9" x14ac:dyDescent="0.2">
      <c r="A1448" s="2">
        <v>15</v>
      </c>
      <c r="B1448" s="1" t="s">
        <v>130</v>
      </c>
      <c r="C1448" s="4">
        <v>19</v>
      </c>
      <c r="D1448" s="8">
        <v>2.06</v>
      </c>
      <c r="E1448" s="4">
        <v>11</v>
      </c>
      <c r="F1448" s="8">
        <v>1.96</v>
      </c>
      <c r="G1448" s="4">
        <v>8</v>
      </c>
      <c r="H1448" s="8">
        <v>2.2200000000000002</v>
      </c>
      <c r="I1448" s="4">
        <v>0</v>
      </c>
    </row>
    <row r="1449" spans="1:9" x14ac:dyDescent="0.2">
      <c r="A1449" s="2">
        <v>16</v>
      </c>
      <c r="B1449" s="1" t="s">
        <v>129</v>
      </c>
      <c r="C1449" s="4">
        <v>17</v>
      </c>
      <c r="D1449" s="8">
        <v>1.84</v>
      </c>
      <c r="E1449" s="4">
        <v>14</v>
      </c>
      <c r="F1449" s="8">
        <v>2.5</v>
      </c>
      <c r="G1449" s="4">
        <v>3</v>
      </c>
      <c r="H1449" s="8">
        <v>0.83</v>
      </c>
      <c r="I1449" s="4">
        <v>0</v>
      </c>
    </row>
    <row r="1450" spans="1:9" x14ac:dyDescent="0.2">
      <c r="A1450" s="2">
        <v>17</v>
      </c>
      <c r="B1450" s="1" t="s">
        <v>105</v>
      </c>
      <c r="C1450" s="4">
        <v>14</v>
      </c>
      <c r="D1450" s="8">
        <v>1.52</v>
      </c>
      <c r="E1450" s="4">
        <v>8</v>
      </c>
      <c r="F1450" s="8">
        <v>1.43</v>
      </c>
      <c r="G1450" s="4">
        <v>6</v>
      </c>
      <c r="H1450" s="8">
        <v>1.67</v>
      </c>
      <c r="I1450" s="4">
        <v>0</v>
      </c>
    </row>
    <row r="1451" spans="1:9" x14ac:dyDescent="0.2">
      <c r="A1451" s="2">
        <v>17</v>
      </c>
      <c r="B1451" s="1" t="s">
        <v>117</v>
      </c>
      <c r="C1451" s="4">
        <v>14</v>
      </c>
      <c r="D1451" s="8">
        <v>1.52</v>
      </c>
      <c r="E1451" s="4">
        <v>0</v>
      </c>
      <c r="F1451" s="8">
        <v>0</v>
      </c>
      <c r="G1451" s="4">
        <v>13</v>
      </c>
      <c r="H1451" s="8">
        <v>3.61</v>
      </c>
      <c r="I1451" s="4">
        <v>0</v>
      </c>
    </row>
    <row r="1452" spans="1:9" x14ac:dyDescent="0.2">
      <c r="A1452" s="2">
        <v>19</v>
      </c>
      <c r="B1452" s="1" t="s">
        <v>145</v>
      </c>
      <c r="C1452" s="4">
        <v>11</v>
      </c>
      <c r="D1452" s="8">
        <v>1.19</v>
      </c>
      <c r="E1452" s="4">
        <v>7</v>
      </c>
      <c r="F1452" s="8">
        <v>1.25</v>
      </c>
      <c r="G1452" s="4">
        <v>4</v>
      </c>
      <c r="H1452" s="8">
        <v>1.1100000000000001</v>
      </c>
      <c r="I1452" s="4">
        <v>0</v>
      </c>
    </row>
    <row r="1453" spans="1:9" x14ac:dyDescent="0.2">
      <c r="A1453" s="2">
        <v>20</v>
      </c>
      <c r="B1453" s="1" t="s">
        <v>122</v>
      </c>
      <c r="C1453" s="4">
        <v>10</v>
      </c>
      <c r="D1453" s="8">
        <v>1.08</v>
      </c>
      <c r="E1453" s="4">
        <v>2</v>
      </c>
      <c r="F1453" s="8">
        <v>0.36</v>
      </c>
      <c r="G1453" s="4">
        <v>8</v>
      </c>
      <c r="H1453" s="8">
        <v>2.2200000000000002</v>
      </c>
      <c r="I1453" s="4">
        <v>0</v>
      </c>
    </row>
    <row r="1454" spans="1:9" x14ac:dyDescent="0.2">
      <c r="A1454" s="1"/>
      <c r="C1454" s="4"/>
      <c r="D1454" s="8"/>
      <c r="E1454" s="4"/>
      <c r="F1454" s="8"/>
      <c r="G1454" s="4"/>
      <c r="H1454" s="8"/>
      <c r="I1454" s="4"/>
    </row>
    <row r="1455" spans="1:9" x14ac:dyDescent="0.2">
      <c r="A1455" s="1" t="s">
        <v>65</v>
      </c>
      <c r="C1455" s="4"/>
      <c r="D1455" s="8"/>
      <c r="E1455" s="4"/>
      <c r="F1455" s="8"/>
      <c r="G1455" s="4"/>
      <c r="H1455" s="8"/>
      <c r="I1455" s="4"/>
    </row>
    <row r="1456" spans="1:9" x14ac:dyDescent="0.2">
      <c r="A1456" s="2">
        <v>1</v>
      </c>
      <c r="B1456" s="1" t="s">
        <v>114</v>
      </c>
      <c r="C1456" s="4">
        <v>41</v>
      </c>
      <c r="D1456" s="8">
        <v>11.85</v>
      </c>
      <c r="E1456" s="4">
        <v>33</v>
      </c>
      <c r="F1456" s="8">
        <v>19.079999999999998</v>
      </c>
      <c r="G1456" s="4">
        <v>8</v>
      </c>
      <c r="H1456" s="8">
        <v>4.71</v>
      </c>
      <c r="I1456" s="4">
        <v>0</v>
      </c>
    </row>
    <row r="1457" spans="1:9" x14ac:dyDescent="0.2">
      <c r="A1457" s="2">
        <v>2</v>
      </c>
      <c r="B1457" s="1" t="s">
        <v>115</v>
      </c>
      <c r="C1457" s="4">
        <v>28</v>
      </c>
      <c r="D1457" s="8">
        <v>8.09</v>
      </c>
      <c r="E1457" s="4">
        <v>22</v>
      </c>
      <c r="F1457" s="8">
        <v>12.72</v>
      </c>
      <c r="G1457" s="4">
        <v>5</v>
      </c>
      <c r="H1457" s="8">
        <v>2.94</v>
      </c>
      <c r="I1457" s="4">
        <v>0</v>
      </c>
    </row>
    <row r="1458" spans="1:9" x14ac:dyDescent="0.2">
      <c r="A1458" s="2">
        <v>3</v>
      </c>
      <c r="B1458" s="1" t="s">
        <v>98</v>
      </c>
      <c r="C1458" s="4">
        <v>27</v>
      </c>
      <c r="D1458" s="8">
        <v>7.8</v>
      </c>
      <c r="E1458" s="4">
        <v>2</v>
      </c>
      <c r="F1458" s="8">
        <v>1.1599999999999999</v>
      </c>
      <c r="G1458" s="4">
        <v>25</v>
      </c>
      <c r="H1458" s="8">
        <v>14.71</v>
      </c>
      <c r="I1458" s="4">
        <v>0</v>
      </c>
    </row>
    <row r="1459" spans="1:9" x14ac:dyDescent="0.2">
      <c r="A1459" s="2">
        <v>3</v>
      </c>
      <c r="B1459" s="1" t="s">
        <v>110</v>
      </c>
      <c r="C1459" s="4">
        <v>27</v>
      </c>
      <c r="D1459" s="8">
        <v>7.8</v>
      </c>
      <c r="E1459" s="4">
        <v>8</v>
      </c>
      <c r="F1459" s="8">
        <v>4.62</v>
      </c>
      <c r="G1459" s="4">
        <v>19</v>
      </c>
      <c r="H1459" s="8">
        <v>11.18</v>
      </c>
      <c r="I1459" s="4">
        <v>0</v>
      </c>
    </row>
    <row r="1460" spans="1:9" x14ac:dyDescent="0.2">
      <c r="A1460" s="2">
        <v>5</v>
      </c>
      <c r="B1460" s="1" t="s">
        <v>113</v>
      </c>
      <c r="C1460" s="4">
        <v>26</v>
      </c>
      <c r="D1460" s="8">
        <v>7.51</v>
      </c>
      <c r="E1460" s="4">
        <v>24</v>
      </c>
      <c r="F1460" s="8">
        <v>13.87</v>
      </c>
      <c r="G1460" s="4">
        <v>2</v>
      </c>
      <c r="H1460" s="8">
        <v>1.18</v>
      </c>
      <c r="I1460" s="4">
        <v>0</v>
      </c>
    </row>
    <row r="1461" spans="1:9" x14ac:dyDescent="0.2">
      <c r="A1461" s="2">
        <v>6</v>
      </c>
      <c r="B1461" s="1" t="s">
        <v>108</v>
      </c>
      <c r="C1461" s="4">
        <v>21</v>
      </c>
      <c r="D1461" s="8">
        <v>6.07</v>
      </c>
      <c r="E1461" s="4">
        <v>14</v>
      </c>
      <c r="F1461" s="8">
        <v>8.09</v>
      </c>
      <c r="G1461" s="4">
        <v>7</v>
      </c>
      <c r="H1461" s="8">
        <v>4.12</v>
      </c>
      <c r="I1461" s="4">
        <v>0</v>
      </c>
    </row>
    <row r="1462" spans="1:9" x14ac:dyDescent="0.2">
      <c r="A1462" s="2">
        <v>7</v>
      </c>
      <c r="B1462" s="1" t="s">
        <v>106</v>
      </c>
      <c r="C1462" s="4">
        <v>20</v>
      </c>
      <c r="D1462" s="8">
        <v>5.78</v>
      </c>
      <c r="E1462" s="4">
        <v>14</v>
      </c>
      <c r="F1462" s="8">
        <v>8.09</v>
      </c>
      <c r="G1462" s="4">
        <v>6</v>
      </c>
      <c r="H1462" s="8">
        <v>3.53</v>
      </c>
      <c r="I1462" s="4">
        <v>0</v>
      </c>
    </row>
    <row r="1463" spans="1:9" x14ac:dyDescent="0.2">
      <c r="A1463" s="2">
        <v>8</v>
      </c>
      <c r="B1463" s="1" t="s">
        <v>116</v>
      </c>
      <c r="C1463" s="4">
        <v>18</v>
      </c>
      <c r="D1463" s="8">
        <v>5.2</v>
      </c>
      <c r="E1463" s="4">
        <v>14</v>
      </c>
      <c r="F1463" s="8">
        <v>8.09</v>
      </c>
      <c r="G1463" s="4">
        <v>4</v>
      </c>
      <c r="H1463" s="8">
        <v>2.35</v>
      </c>
      <c r="I1463" s="4">
        <v>0</v>
      </c>
    </row>
    <row r="1464" spans="1:9" x14ac:dyDescent="0.2">
      <c r="A1464" s="2">
        <v>9</v>
      </c>
      <c r="B1464" s="1" t="s">
        <v>100</v>
      </c>
      <c r="C1464" s="4">
        <v>12</v>
      </c>
      <c r="D1464" s="8">
        <v>3.47</v>
      </c>
      <c r="E1464" s="4">
        <v>3</v>
      </c>
      <c r="F1464" s="8">
        <v>1.73</v>
      </c>
      <c r="G1464" s="4">
        <v>9</v>
      </c>
      <c r="H1464" s="8">
        <v>5.29</v>
      </c>
      <c r="I1464" s="4">
        <v>0</v>
      </c>
    </row>
    <row r="1465" spans="1:9" x14ac:dyDescent="0.2">
      <c r="A1465" s="2">
        <v>10</v>
      </c>
      <c r="B1465" s="1" t="s">
        <v>112</v>
      </c>
      <c r="C1465" s="4">
        <v>11</v>
      </c>
      <c r="D1465" s="8">
        <v>3.18</v>
      </c>
      <c r="E1465" s="4">
        <v>4</v>
      </c>
      <c r="F1465" s="8">
        <v>2.31</v>
      </c>
      <c r="G1465" s="4">
        <v>7</v>
      </c>
      <c r="H1465" s="8">
        <v>4.12</v>
      </c>
      <c r="I1465" s="4">
        <v>0</v>
      </c>
    </row>
    <row r="1466" spans="1:9" x14ac:dyDescent="0.2">
      <c r="A1466" s="2">
        <v>11</v>
      </c>
      <c r="B1466" s="1" t="s">
        <v>117</v>
      </c>
      <c r="C1466" s="4">
        <v>10</v>
      </c>
      <c r="D1466" s="8">
        <v>2.89</v>
      </c>
      <c r="E1466" s="4">
        <v>1</v>
      </c>
      <c r="F1466" s="8">
        <v>0.57999999999999996</v>
      </c>
      <c r="G1466" s="4">
        <v>8</v>
      </c>
      <c r="H1466" s="8">
        <v>4.71</v>
      </c>
      <c r="I1466" s="4">
        <v>1</v>
      </c>
    </row>
    <row r="1467" spans="1:9" x14ac:dyDescent="0.2">
      <c r="A1467" s="2">
        <v>12</v>
      </c>
      <c r="B1467" s="1" t="s">
        <v>107</v>
      </c>
      <c r="C1467" s="4">
        <v>9</v>
      </c>
      <c r="D1467" s="8">
        <v>2.6</v>
      </c>
      <c r="E1467" s="4">
        <v>6</v>
      </c>
      <c r="F1467" s="8">
        <v>3.47</v>
      </c>
      <c r="G1467" s="4">
        <v>3</v>
      </c>
      <c r="H1467" s="8">
        <v>1.76</v>
      </c>
      <c r="I1467" s="4">
        <v>0</v>
      </c>
    </row>
    <row r="1468" spans="1:9" x14ac:dyDescent="0.2">
      <c r="A1468" s="2">
        <v>13</v>
      </c>
      <c r="B1468" s="1" t="s">
        <v>99</v>
      </c>
      <c r="C1468" s="4">
        <v>8</v>
      </c>
      <c r="D1468" s="8">
        <v>2.31</v>
      </c>
      <c r="E1468" s="4">
        <v>3</v>
      </c>
      <c r="F1468" s="8">
        <v>1.73</v>
      </c>
      <c r="G1468" s="4">
        <v>5</v>
      </c>
      <c r="H1468" s="8">
        <v>2.94</v>
      </c>
      <c r="I1468" s="4">
        <v>0</v>
      </c>
    </row>
    <row r="1469" spans="1:9" x14ac:dyDescent="0.2">
      <c r="A1469" s="2">
        <v>14</v>
      </c>
      <c r="B1469" s="1" t="s">
        <v>111</v>
      </c>
      <c r="C1469" s="4">
        <v>7</v>
      </c>
      <c r="D1469" s="8">
        <v>2.02</v>
      </c>
      <c r="E1469" s="4">
        <v>3</v>
      </c>
      <c r="F1469" s="8">
        <v>1.73</v>
      </c>
      <c r="G1469" s="4">
        <v>4</v>
      </c>
      <c r="H1469" s="8">
        <v>2.35</v>
      </c>
      <c r="I1469" s="4">
        <v>0</v>
      </c>
    </row>
    <row r="1470" spans="1:9" x14ac:dyDescent="0.2">
      <c r="A1470" s="2">
        <v>15</v>
      </c>
      <c r="B1470" s="1" t="s">
        <v>105</v>
      </c>
      <c r="C1470" s="4">
        <v>6</v>
      </c>
      <c r="D1470" s="8">
        <v>1.73</v>
      </c>
      <c r="E1470" s="4">
        <v>5</v>
      </c>
      <c r="F1470" s="8">
        <v>2.89</v>
      </c>
      <c r="G1470" s="4">
        <v>1</v>
      </c>
      <c r="H1470" s="8">
        <v>0.59</v>
      </c>
      <c r="I1470" s="4">
        <v>0</v>
      </c>
    </row>
    <row r="1471" spans="1:9" x14ac:dyDescent="0.2">
      <c r="A1471" s="2">
        <v>15</v>
      </c>
      <c r="B1471" s="1" t="s">
        <v>130</v>
      </c>
      <c r="C1471" s="4">
        <v>6</v>
      </c>
      <c r="D1471" s="8">
        <v>1.73</v>
      </c>
      <c r="E1471" s="4">
        <v>4</v>
      </c>
      <c r="F1471" s="8">
        <v>2.31</v>
      </c>
      <c r="G1471" s="4">
        <v>2</v>
      </c>
      <c r="H1471" s="8">
        <v>1.18</v>
      </c>
      <c r="I1471" s="4">
        <v>0</v>
      </c>
    </row>
    <row r="1472" spans="1:9" x14ac:dyDescent="0.2">
      <c r="A1472" s="2">
        <v>17</v>
      </c>
      <c r="B1472" s="1" t="s">
        <v>125</v>
      </c>
      <c r="C1472" s="4">
        <v>5</v>
      </c>
      <c r="D1472" s="8">
        <v>1.45</v>
      </c>
      <c r="E1472" s="4">
        <v>0</v>
      </c>
      <c r="F1472" s="8">
        <v>0</v>
      </c>
      <c r="G1472" s="4">
        <v>5</v>
      </c>
      <c r="H1472" s="8">
        <v>2.94</v>
      </c>
      <c r="I1472" s="4">
        <v>0</v>
      </c>
    </row>
    <row r="1473" spans="1:9" x14ac:dyDescent="0.2">
      <c r="A1473" s="2">
        <v>17</v>
      </c>
      <c r="B1473" s="1" t="s">
        <v>109</v>
      </c>
      <c r="C1473" s="4">
        <v>5</v>
      </c>
      <c r="D1473" s="8">
        <v>1.45</v>
      </c>
      <c r="E1473" s="4">
        <v>3</v>
      </c>
      <c r="F1473" s="8">
        <v>1.73</v>
      </c>
      <c r="G1473" s="4">
        <v>2</v>
      </c>
      <c r="H1473" s="8">
        <v>1.18</v>
      </c>
      <c r="I1473" s="4">
        <v>0</v>
      </c>
    </row>
    <row r="1474" spans="1:9" x14ac:dyDescent="0.2">
      <c r="A1474" s="2">
        <v>17</v>
      </c>
      <c r="B1474" s="1" t="s">
        <v>119</v>
      </c>
      <c r="C1474" s="4">
        <v>5</v>
      </c>
      <c r="D1474" s="8">
        <v>1.45</v>
      </c>
      <c r="E1474" s="4">
        <v>1</v>
      </c>
      <c r="F1474" s="8">
        <v>0.57999999999999996</v>
      </c>
      <c r="G1474" s="4">
        <v>4</v>
      </c>
      <c r="H1474" s="8">
        <v>2.35</v>
      </c>
      <c r="I1474" s="4">
        <v>0</v>
      </c>
    </row>
    <row r="1475" spans="1:9" x14ac:dyDescent="0.2">
      <c r="A1475" s="2">
        <v>20</v>
      </c>
      <c r="B1475" s="1" t="s">
        <v>122</v>
      </c>
      <c r="C1475" s="4">
        <v>4</v>
      </c>
      <c r="D1475" s="8">
        <v>1.1599999999999999</v>
      </c>
      <c r="E1475" s="4">
        <v>1</v>
      </c>
      <c r="F1475" s="8">
        <v>0.57999999999999996</v>
      </c>
      <c r="G1475" s="4">
        <v>3</v>
      </c>
      <c r="H1475" s="8">
        <v>1.76</v>
      </c>
      <c r="I1475" s="4">
        <v>0</v>
      </c>
    </row>
    <row r="1476" spans="1:9" x14ac:dyDescent="0.2">
      <c r="A1476" s="2">
        <v>20</v>
      </c>
      <c r="B1476" s="1" t="s">
        <v>102</v>
      </c>
      <c r="C1476" s="4">
        <v>4</v>
      </c>
      <c r="D1476" s="8">
        <v>1.1599999999999999</v>
      </c>
      <c r="E1476" s="4">
        <v>1</v>
      </c>
      <c r="F1476" s="8">
        <v>0.57999999999999996</v>
      </c>
      <c r="G1476" s="4">
        <v>3</v>
      </c>
      <c r="H1476" s="8">
        <v>1.76</v>
      </c>
      <c r="I1476" s="4">
        <v>0</v>
      </c>
    </row>
    <row r="1477" spans="1:9" x14ac:dyDescent="0.2">
      <c r="A1477" s="2">
        <v>20</v>
      </c>
      <c r="B1477" s="1" t="s">
        <v>104</v>
      </c>
      <c r="C1477" s="4">
        <v>4</v>
      </c>
      <c r="D1477" s="8">
        <v>1.1599999999999999</v>
      </c>
      <c r="E1477" s="4">
        <v>0</v>
      </c>
      <c r="F1477" s="8">
        <v>0</v>
      </c>
      <c r="G1477" s="4">
        <v>4</v>
      </c>
      <c r="H1477" s="8">
        <v>2.35</v>
      </c>
      <c r="I1477" s="4">
        <v>0</v>
      </c>
    </row>
    <row r="1478" spans="1:9" x14ac:dyDescent="0.2">
      <c r="A1478" s="1"/>
      <c r="C1478" s="4"/>
      <c r="D1478" s="8"/>
      <c r="E1478" s="4"/>
      <c r="F1478" s="8"/>
      <c r="G1478" s="4"/>
      <c r="H1478" s="8"/>
      <c r="I1478" s="4"/>
    </row>
    <row r="1479" spans="1:9" x14ac:dyDescent="0.2">
      <c r="A1479" s="1" t="s">
        <v>66</v>
      </c>
      <c r="C1479" s="4"/>
      <c r="D1479" s="8"/>
      <c r="E1479" s="4"/>
      <c r="F1479" s="8"/>
      <c r="G1479" s="4"/>
      <c r="H1479" s="8"/>
      <c r="I1479" s="4"/>
    </row>
    <row r="1480" spans="1:9" x14ac:dyDescent="0.2">
      <c r="A1480" s="2">
        <v>1</v>
      </c>
      <c r="B1480" s="1" t="s">
        <v>98</v>
      </c>
      <c r="C1480" s="4">
        <v>26</v>
      </c>
      <c r="D1480" s="8">
        <v>10.4</v>
      </c>
      <c r="E1480" s="4">
        <v>8</v>
      </c>
      <c r="F1480" s="8">
        <v>6.67</v>
      </c>
      <c r="G1480" s="4">
        <v>18</v>
      </c>
      <c r="H1480" s="8">
        <v>14.88</v>
      </c>
      <c r="I1480" s="4">
        <v>0</v>
      </c>
    </row>
    <row r="1481" spans="1:9" x14ac:dyDescent="0.2">
      <c r="A1481" s="2">
        <v>2</v>
      </c>
      <c r="B1481" s="1" t="s">
        <v>114</v>
      </c>
      <c r="C1481" s="4">
        <v>21</v>
      </c>
      <c r="D1481" s="8">
        <v>8.4</v>
      </c>
      <c r="E1481" s="4">
        <v>19</v>
      </c>
      <c r="F1481" s="8">
        <v>15.83</v>
      </c>
      <c r="G1481" s="4">
        <v>2</v>
      </c>
      <c r="H1481" s="8">
        <v>1.65</v>
      </c>
      <c r="I1481" s="4">
        <v>0</v>
      </c>
    </row>
    <row r="1482" spans="1:9" x14ac:dyDescent="0.2">
      <c r="A1482" s="2">
        <v>3</v>
      </c>
      <c r="B1482" s="1" t="s">
        <v>113</v>
      </c>
      <c r="C1482" s="4">
        <v>15</v>
      </c>
      <c r="D1482" s="8">
        <v>6</v>
      </c>
      <c r="E1482" s="4">
        <v>13</v>
      </c>
      <c r="F1482" s="8">
        <v>10.83</v>
      </c>
      <c r="G1482" s="4">
        <v>2</v>
      </c>
      <c r="H1482" s="8">
        <v>1.65</v>
      </c>
      <c r="I1482" s="4">
        <v>0</v>
      </c>
    </row>
    <row r="1483" spans="1:9" x14ac:dyDescent="0.2">
      <c r="A1483" s="2">
        <v>4</v>
      </c>
      <c r="B1483" s="1" t="s">
        <v>100</v>
      </c>
      <c r="C1483" s="4">
        <v>13</v>
      </c>
      <c r="D1483" s="8">
        <v>5.2</v>
      </c>
      <c r="E1483" s="4">
        <v>6</v>
      </c>
      <c r="F1483" s="8">
        <v>5</v>
      </c>
      <c r="G1483" s="4">
        <v>7</v>
      </c>
      <c r="H1483" s="8">
        <v>5.79</v>
      </c>
      <c r="I1483" s="4">
        <v>0</v>
      </c>
    </row>
    <row r="1484" spans="1:9" x14ac:dyDescent="0.2">
      <c r="A1484" s="2">
        <v>5</v>
      </c>
      <c r="B1484" s="1" t="s">
        <v>112</v>
      </c>
      <c r="C1484" s="4">
        <v>12</v>
      </c>
      <c r="D1484" s="8">
        <v>4.8</v>
      </c>
      <c r="E1484" s="4">
        <v>7</v>
      </c>
      <c r="F1484" s="8">
        <v>5.83</v>
      </c>
      <c r="G1484" s="4">
        <v>5</v>
      </c>
      <c r="H1484" s="8">
        <v>4.13</v>
      </c>
      <c r="I1484" s="4">
        <v>0</v>
      </c>
    </row>
    <row r="1485" spans="1:9" x14ac:dyDescent="0.2">
      <c r="A1485" s="2">
        <v>5</v>
      </c>
      <c r="B1485" s="1" t="s">
        <v>115</v>
      </c>
      <c r="C1485" s="4">
        <v>12</v>
      </c>
      <c r="D1485" s="8">
        <v>4.8</v>
      </c>
      <c r="E1485" s="4">
        <v>4</v>
      </c>
      <c r="F1485" s="8">
        <v>3.33</v>
      </c>
      <c r="G1485" s="4">
        <v>6</v>
      </c>
      <c r="H1485" s="8">
        <v>4.96</v>
      </c>
      <c r="I1485" s="4">
        <v>1</v>
      </c>
    </row>
    <row r="1486" spans="1:9" x14ac:dyDescent="0.2">
      <c r="A1486" s="2">
        <v>7</v>
      </c>
      <c r="B1486" s="1" t="s">
        <v>99</v>
      </c>
      <c r="C1486" s="4">
        <v>11</v>
      </c>
      <c r="D1486" s="8">
        <v>4.4000000000000004</v>
      </c>
      <c r="E1486" s="4">
        <v>6</v>
      </c>
      <c r="F1486" s="8">
        <v>5</v>
      </c>
      <c r="G1486" s="4">
        <v>5</v>
      </c>
      <c r="H1486" s="8">
        <v>4.13</v>
      </c>
      <c r="I1486" s="4">
        <v>0</v>
      </c>
    </row>
    <row r="1487" spans="1:9" x14ac:dyDescent="0.2">
      <c r="A1487" s="2">
        <v>7</v>
      </c>
      <c r="B1487" s="1" t="s">
        <v>116</v>
      </c>
      <c r="C1487" s="4">
        <v>11</v>
      </c>
      <c r="D1487" s="8">
        <v>4.4000000000000004</v>
      </c>
      <c r="E1487" s="4">
        <v>9</v>
      </c>
      <c r="F1487" s="8">
        <v>7.5</v>
      </c>
      <c r="G1487" s="4">
        <v>2</v>
      </c>
      <c r="H1487" s="8">
        <v>1.65</v>
      </c>
      <c r="I1487" s="4">
        <v>0</v>
      </c>
    </row>
    <row r="1488" spans="1:9" x14ac:dyDescent="0.2">
      <c r="A1488" s="2">
        <v>9</v>
      </c>
      <c r="B1488" s="1" t="s">
        <v>106</v>
      </c>
      <c r="C1488" s="4">
        <v>10</v>
      </c>
      <c r="D1488" s="8">
        <v>4</v>
      </c>
      <c r="E1488" s="4">
        <v>8</v>
      </c>
      <c r="F1488" s="8">
        <v>6.67</v>
      </c>
      <c r="G1488" s="4">
        <v>2</v>
      </c>
      <c r="H1488" s="8">
        <v>1.65</v>
      </c>
      <c r="I1488" s="4">
        <v>0</v>
      </c>
    </row>
    <row r="1489" spans="1:9" x14ac:dyDescent="0.2">
      <c r="A1489" s="2">
        <v>9</v>
      </c>
      <c r="B1489" s="1" t="s">
        <v>111</v>
      </c>
      <c r="C1489" s="4">
        <v>10</v>
      </c>
      <c r="D1489" s="8">
        <v>4</v>
      </c>
      <c r="E1489" s="4">
        <v>2</v>
      </c>
      <c r="F1489" s="8">
        <v>1.67</v>
      </c>
      <c r="G1489" s="4">
        <v>8</v>
      </c>
      <c r="H1489" s="8">
        <v>6.61</v>
      </c>
      <c r="I1489" s="4">
        <v>0</v>
      </c>
    </row>
    <row r="1490" spans="1:9" x14ac:dyDescent="0.2">
      <c r="A1490" s="2">
        <v>11</v>
      </c>
      <c r="B1490" s="1" t="s">
        <v>103</v>
      </c>
      <c r="C1490" s="4">
        <v>8</v>
      </c>
      <c r="D1490" s="8">
        <v>3.2</v>
      </c>
      <c r="E1490" s="4">
        <v>1</v>
      </c>
      <c r="F1490" s="8">
        <v>0.83</v>
      </c>
      <c r="G1490" s="4">
        <v>7</v>
      </c>
      <c r="H1490" s="8">
        <v>5.79</v>
      </c>
      <c r="I1490" s="4">
        <v>0</v>
      </c>
    </row>
    <row r="1491" spans="1:9" x14ac:dyDescent="0.2">
      <c r="A1491" s="2">
        <v>11</v>
      </c>
      <c r="B1491" s="1" t="s">
        <v>107</v>
      </c>
      <c r="C1491" s="4">
        <v>8</v>
      </c>
      <c r="D1491" s="8">
        <v>3.2</v>
      </c>
      <c r="E1491" s="4">
        <v>7</v>
      </c>
      <c r="F1491" s="8">
        <v>5.83</v>
      </c>
      <c r="G1491" s="4">
        <v>1</v>
      </c>
      <c r="H1491" s="8">
        <v>0.83</v>
      </c>
      <c r="I1491" s="4">
        <v>0</v>
      </c>
    </row>
    <row r="1492" spans="1:9" x14ac:dyDescent="0.2">
      <c r="A1492" s="2">
        <v>11</v>
      </c>
      <c r="B1492" s="1" t="s">
        <v>108</v>
      </c>
      <c r="C1492" s="4">
        <v>8</v>
      </c>
      <c r="D1492" s="8">
        <v>3.2</v>
      </c>
      <c r="E1492" s="4">
        <v>6</v>
      </c>
      <c r="F1492" s="8">
        <v>5</v>
      </c>
      <c r="G1492" s="4">
        <v>2</v>
      </c>
      <c r="H1492" s="8">
        <v>1.65</v>
      </c>
      <c r="I1492" s="4">
        <v>0</v>
      </c>
    </row>
    <row r="1493" spans="1:9" x14ac:dyDescent="0.2">
      <c r="A1493" s="2">
        <v>14</v>
      </c>
      <c r="B1493" s="1" t="s">
        <v>109</v>
      </c>
      <c r="C1493" s="4">
        <v>6</v>
      </c>
      <c r="D1493" s="8">
        <v>2.4</v>
      </c>
      <c r="E1493" s="4">
        <v>2</v>
      </c>
      <c r="F1493" s="8">
        <v>1.67</v>
      </c>
      <c r="G1493" s="4">
        <v>4</v>
      </c>
      <c r="H1493" s="8">
        <v>3.31</v>
      </c>
      <c r="I1493" s="4">
        <v>0</v>
      </c>
    </row>
    <row r="1494" spans="1:9" x14ac:dyDescent="0.2">
      <c r="A1494" s="2">
        <v>14</v>
      </c>
      <c r="B1494" s="1" t="s">
        <v>130</v>
      </c>
      <c r="C1494" s="4">
        <v>6</v>
      </c>
      <c r="D1494" s="8">
        <v>2.4</v>
      </c>
      <c r="E1494" s="4">
        <v>4</v>
      </c>
      <c r="F1494" s="8">
        <v>3.33</v>
      </c>
      <c r="G1494" s="4">
        <v>2</v>
      </c>
      <c r="H1494" s="8">
        <v>1.65</v>
      </c>
      <c r="I1494" s="4">
        <v>0</v>
      </c>
    </row>
    <row r="1495" spans="1:9" x14ac:dyDescent="0.2">
      <c r="A1495" s="2">
        <v>16</v>
      </c>
      <c r="B1495" s="1" t="s">
        <v>104</v>
      </c>
      <c r="C1495" s="4">
        <v>5</v>
      </c>
      <c r="D1495" s="8">
        <v>2</v>
      </c>
      <c r="E1495" s="4">
        <v>2</v>
      </c>
      <c r="F1495" s="8">
        <v>1.67</v>
      </c>
      <c r="G1495" s="4">
        <v>3</v>
      </c>
      <c r="H1495" s="8">
        <v>2.48</v>
      </c>
      <c r="I1495" s="4">
        <v>0</v>
      </c>
    </row>
    <row r="1496" spans="1:9" x14ac:dyDescent="0.2">
      <c r="A1496" s="2">
        <v>16</v>
      </c>
      <c r="B1496" s="1" t="s">
        <v>105</v>
      </c>
      <c r="C1496" s="4">
        <v>5</v>
      </c>
      <c r="D1496" s="8">
        <v>2</v>
      </c>
      <c r="E1496" s="4">
        <v>3</v>
      </c>
      <c r="F1496" s="8">
        <v>2.5</v>
      </c>
      <c r="G1496" s="4">
        <v>2</v>
      </c>
      <c r="H1496" s="8">
        <v>1.65</v>
      </c>
      <c r="I1496" s="4">
        <v>0</v>
      </c>
    </row>
    <row r="1497" spans="1:9" x14ac:dyDescent="0.2">
      <c r="A1497" s="2">
        <v>16</v>
      </c>
      <c r="B1497" s="1" t="s">
        <v>119</v>
      </c>
      <c r="C1497" s="4">
        <v>5</v>
      </c>
      <c r="D1497" s="8">
        <v>2</v>
      </c>
      <c r="E1497" s="4">
        <v>1</v>
      </c>
      <c r="F1497" s="8">
        <v>0.83</v>
      </c>
      <c r="G1497" s="4">
        <v>4</v>
      </c>
      <c r="H1497" s="8">
        <v>3.31</v>
      </c>
      <c r="I1497" s="4">
        <v>0</v>
      </c>
    </row>
    <row r="1498" spans="1:9" x14ac:dyDescent="0.2">
      <c r="A1498" s="2">
        <v>19</v>
      </c>
      <c r="B1498" s="1" t="s">
        <v>141</v>
      </c>
      <c r="C1498" s="4">
        <v>4</v>
      </c>
      <c r="D1498" s="8">
        <v>1.6</v>
      </c>
      <c r="E1498" s="4">
        <v>2</v>
      </c>
      <c r="F1498" s="8">
        <v>1.67</v>
      </c>
      <c r="G1498" s="4">
        <v>2</v>
      </c>
      <c r="H1498" s="8">
        <v>1.65</v>
      </c>
      <c r="I1498" s="4">
        <v>0</v>
      </c>
    </row>
    <row r="1499" spans="1:9" x14ac:dyDescent="0.2">
      <c r="A1499" s="2">
        <v>19</v>
      </c>
      <c r="B1499" s="1" t="s">
        <v>138</v>
      </c>
      <c r="C1499" s="4">
        <v>4</v>
      </c>
      <c r="D1499" s="8">
        <v>1.6</v>
      </c>
      <c r="E1499" s="4">
        <v>1</v>
      </c>
      <c r="F1499" s="8">
        <v>0.83</v>
      </c>
      <c r="G1499" s="4">
        <v>3</v>
      </c>
      <c r="H1499" s="8">
        <v>2.48</v>
      </c>
      <c r="I1499" s="4">
        <v>0</v>
      </c>
    </row>
    <row r="1500" spans="1:9" x14ac:dyDescent="0.2">
      <c r="A1500" s="2">
        <v>19</v>
      </c>
      <c r="B1500" s="1" t="s">
        <v>135</v>
      </c>
      <c r="C1500" s="4">
        <v>4</v>
      </c>
      <c r="D1500" s="8">
        <v>1.6</v>
      </c>
      <c r="E1500" s="4">
        <v>0</v>
      </c>
      <c r="F1500" s="8">
        <v>0</v>
      </c>
      <c r="G1500" s="4">
        <v>4</v>
      </c>
      <c r="H1500" s="8">
        <v>3.31</v>
      </c>
      <c r="I1500" s="4">
        <v>0</v>
      </c>
    </row>
    <row r="1501" spans="1:9" x14ac:dyDescent="0.2">
      <c r="A1501" s="2">
        <v>19</v>
      </c>
      <c r="B1501" s="1" t="s">
        <v>110</v>
      </c>
      <c r="C1501" s="4">
        <v>4</v>
      </c>
      <c r="D1501" s="8">
        <v>1.6</v>
      </c>
      <c r="E1501" s="4">
        <v>2</v>
      </c>
      <c r="F1501" s="8">
        <v>1.67</v>
      </c>
      <c r="G1501" s="4">
        <v>2</v>
      </c>
      <c r="H1501" s="8">
        <v>1.65</v>
      </c>
      <c r="I1501" s="4">
        <v>0</v>
      </c>
    </row>
    <row r="1502" spans="1:9" x14ac:dyDescent="0.2">
      <c r="A1502" s="2">
        <v>19</v>
      </c>
      <c r="B1502" s="1" t="s">
        <v>117</v>
      </c>
      <c r="C1502" s="4">
        <v>4</v>
      </c>
      <c r="D1502" s="8">
        <v>1.6</v>
      </c>
      <c r="E1502" s="4">
        <v>0</v>
      </c>
      <c r="F1502" s="8">
        <v>0</v>
      </c>
      <c r="G1502" s="4">
        <v>0</v>
      </c>
      <c r="H1502" s="8">
        <v>0</v>
      </c>
      <c r="I1502" s="4">
        <v>0</v>
      </c>
    </row>
    <row r="1503" spans="1:9" x14ac:dyDescent="0.2">
      <c r="A1503" s="1"/>
      <c r="C1503" s="4"/>
      <c r="D1503" s="8"/>
      <c r="E1503" s="4"/>
      <c r="F1503" s="8"/>
      <c r="G1503" s="4"/>
      <c r="H1503" s="8"/>
      <c r="I1503" s="4"/>
    </row>
    <row r="1504" spans="1:9" x14ac:dyDescent="0.2">
      <c r="A1504" s="1" t="s">
        <v>67</v>
      </c>
      <c r="C1504" s="4"/>
      <c r="D1504" s="8"/>
      <c r="E1504" s="4"/>
      <c r="F1504" s="8"/>
      <c r="G1504" s="4"/>
      <c r="H1504" s="8"/>
      <c r="I1504" s="4"/>
    </row>
    <row r="1505" spans="1:9" x14ac:dyDescent="0.2">
      <c r="A1505" s="2">
        <v>1</v>
      </c>
      <c r="B1505" s="1" t="s">
        <v>98</v>
      </c>
      <c r="C1505" s="4">
        <v>21</v>
      </c>
      <c r="D1505" s="8">
        <v>11.35</v>
      </c>
      <c r="E1505" s="4">
        <v>9</v>
      </c>
      <c r="F1505" s="8">
        <v>8.65</v>
      </c>
      <c r="G1505" s="4">
        <v>12</v>
      </c>
      <c r="H1505" s="8">
        <v>15.79</v>
      </c>
      <c r="I1505" s="4">
        <v>0</v>
      </c>
    </row>
    <row r="1506" spans="1:9" x14ac:dyDescent="0.2">
      <c r="A1506" s="2">
        <v>2</v>
      </c>
      <c r="B1506" s="1" t="s">
        <v>108</v>
      </c>
      <c r="C1506" s="4">
        <v>16</v>
      </c>
      <c r="D1506" s="8">
        <v>8.65</v>
      </c>
      <c r="E1506" s="4">
        <v>12</v>
      </c>
      <c r="F1506" s="8">
        <v>11.54</v>
      </c>
      <c r="G1506" s="4">
        <v>4</v>
      </c>
      <c r="H1506" s="8">
        <v>5.26</v>
      </c>
      <c r="I1506" s="4">
        <v>0</v>
      </c>
    </row>
    <row r="1507" spans="1:9" x14ac:dyDescent="0.2">
      <c r="A1507" s="2">
        <v>3</v>
      </c>
      <c r="B1507" s="1" t="s">
        <v>113</v>
      </c>
      <c r="C1507" s="4">
        <v>13</v>
      </c>
      <c r="D1507" s="8">
        <v>7.03</v>
      </c>
      <c r="E1507" s="4">
        <v>11</v>
      </c>
      <c r="F1507" s="8">
        <v>10.58</v>
      </c>
      <c r="G1507" s="4">
        <v>2</v>
      </c>
      <c r="H1507" s="8">
        <v>2.63</v>
      </c>
      <c r="I1507" s="4">
        <v>0</v>
      </c>
    </row>
    <row r="1508" spans="1:9" x14ac:dyDescent="0.2">
      <c r="A1508" s="2">
        <v>4</v>
      </c>
      <c r="B1508" s="1" t="s">
        <v>106</v>
      </c>
      <c r="C1508" s="4">
        <v>11</v>
      </c>
      <c r="D1508" s="8">
        <v>5.95</v>
      </c>
      <c r="E1508" s="4">
        <v>9</v>
      </c>
      <c r="F1508" s="8">
        <v>8.65</v>
      </c>
      <c r="G1508" s="4">
        <v>2</v>
      </c>
      <c r="H1508" s="8">
        <v>2.63</v>
      </c>
      <c r="I1508" s="4">
        <v>0</v>
      </c>
    </row>
    <row r="1509" spans="1:9" x14ac:dyDescent="0.2">
      <c r="A1509" s="2">
        <v>5</v>
      </c>
      <c r="B1509" s="1" t="s">
        <v>114</v>
      </c>
      <c r="C1509" s="4">
        <v>10</v>
      </c>
      <c r="D1509" s="8">
        <v>5.41</v>
      </c>
      <c r="E1509" s="4">
        <v>10</v>
      </c>
      <c r="F1509" s="8">
        <v>9.6199999999999992</v>
      </c>
      <c r="G1509" s="4">
        <v>0</v>
      </c>
      <c r="H1509" s="8">
        <v>0</v>
      </c>
      <c r="I1509" s="4">
        <v>0</v>
      </c>
    </row>
    <row r="1510" spans="1:9" x14ac:dyDescent="0.2">
      <c r="A1510" s="2">
        <v>6</v>
      </c>
      <c r="B1510" s="1" t="s">
        <v>99</v>
      </c>
      <c r="C1510" s="4">
        <v>9</v>
      </c>
      <c r="D1510" s="8">
        <v>4.8600000000000003</v>
      </c>
      <c r="E1510" s="4">
        <v>5</v>
      </c>
      <c r="F1510" s="8">
        <v>4.8099999999999996</v>
      </c>
      <c r="G1510" s="4">
        <v>4</v>
      </c>
      <c r="H1510" s="8">
        <v>5.26</v>
      </c>
      <c r="I1510" s="4">
        <v>0</v>
      </c>
    </row>
    <row r="1511" spans="1:9" x14ac:dyDescent="0.2">
      <c r="A1511" s="2">
        <v>6</v>
      </c>
      <c r="B1511" s="1" t="s">
        <v>100</v>
      </c>
      <c r="C1511" s="4">
        <v>9</v>
      </c>
      <c r="D1511" s="8">
        <v>4.8600000000000003</v>
      </c>
      <c r="E1511" s="4">
        <v>6</v>
      </c>
      <c r="F1511" s="8">
        <v>5.77</v>
      </c>
      <c r="G1511" s="4">
        <v>3</v>
      </c>
      <c r="H1511" s="8">
        <v>3.95</v>
      </c>
      <c r="I1511" s="4">
        <v>0</v>
      </c>
    </row>
    <row r="1512" spans="1:9" x14ac:dyDescent="0.2">
      <c r="A1512" s="2">
        <v>8</v>
      </c>
      <c r="B1512" s="1" t="s">
        <v>102</v>
      </c>
      <c r="C1512" s="4">
        <v>7</v>
      </c>
      <c r="D1512" s="8">
        <v>3.78</v>
      </c>
      <c r="E1512" s="4">
        <v>2</v>
      </c>
      <c r="F1512" s="8">
        <v>1.92</v>
      </c>
      <c r="G1512" s="4">
        <v>5</v>
      </c>
      <c r="H1512" s="8">
        <v>6.58</v>
      </c>
      <c r="I1512" s="4">
        <v>0</v>
      </c>
    </row>
    <row r="1513" spans="1:9" x14ac:dyDescent="0.2">
      <c r="A1513" s="2">
        <v>8</v>
      </c>
      <c r="B1513" s="1" t="s">
        <v>107</v>
      </c>
      <c r="C1513" s="4">
        <v>7</v>
      </c>
      <c r="D1513" s="8">
        <v>3.78</v>
      </c>
      <c r="E1513" s="4">
        <v>5</v>
      </c>
      <c r="F1513" s="8">
        <v>4.8099999999999996</v>
      </c>
      <c r="G1513" s="4">
        <v>2</v>
      </c>
      <c r="H1513" s="8">
        <v>2.63</v>
      </c>
      <c r="I1513" s="4">
        <v>0</v>
      </c>
    </row>
    <row r="1514" spans="1:9" x14ac:dyDescent="0.2">
      <c r="A1514" s="2">
        <v>10</v>
      </c>
      <c r="B1514" s="1" t="s">
        <v>142</v>
      </c>
      <c r="C1514" s="4">
        <v>4</v>
      </c>
      <c r="D1514" s="8">
        <v>2.16</v>
      </c>
      <c r="E1514" s="4">
        <v>4</v>
      </c>
      <c r="F1514" s="8">
        <v>3.85</v>
      </c>
      <c r="G1514" s="4">
        <v>0</v>
      </c>
      <c r="H1514" s="8">
        <v>0</v>
      </c>
      <c r="I1514" s="4">
        <v>0</v>
      </c>
    </row>
    <row r="1515" spans="1:9" x14ac:dyDescent="0.2">
      <c r="A1515" s="2">
        <v>10</v>
      </c>
      <c r="B1515" s="1" t="s">
        <v>101</v>
      </c>
      <c r="C1515" s="4">
        <v>4</v>
      </c>
      <c r="D1515" s="8">
        <v>2.16</v>
      </c>
      <c r="E1515" s="4">
        <v>2</v>
      </c>
      <c r="F1515" s="8">
        <v>1.92</v>
      </c>
      <c r="G1515" s="4">
        <v>2</v>
      </c>
      <c r="H1515" s="8">
        <v>2.63</v>
      </c>
      <c r="I1515" s="4">
        <v>0</v>
      </c>
    </row>
    <row r="1516" spans="1:9" x14ac:dyDescent="0.2">
      <c r="A1516" s="2">
        <v>10</v>
      </c>
      <c r="B1516" s="1" t="s">
        <v>117</v>
      </c>
      <c r="C1516" s="4">
        <v>4</v>
      </c>
      <c r="D1516" s="8">
        <v>2.16</v>
      </c>
      <c r="E1516" s="4">
        <v>1</v>
      </c>
      <c r="F1516" s="8">
        <v>0.96</v>
      </c>
      <c r="G1516" s="4">
        <v>2</v>
      </c>
      <c r="H1516" s="8">
        <v>2.63</v>
      </c>
      <c r="I1516" s="4">
        <v>0</v>
      </c>
    </row>
    <row r="1517" spans="1:9" x14ac:dyDescent="0.2">
      <c r="A1517" s="2">
        <v>10</v>
      </c>
      <c r="B1517" s="1" t="s">
        <v>129</v>
      </c>
      <c r="C1517" s="4">
        <v>4</v>
      </c>
      <c r="D1517" s="8">
        <v>2.16</v>
      </c>
      <c r="E1517" s="4">
        <v>4</v>
      </c>
      <c r="F1517" s="8">
        <v>3.85</v>
      </c>
      <c r="G1517" s="4">
        <v>0</v>
      </c>
      <c r="H1517" s="8">
        <v>0</v>
      </c>
      <c r="I1517" s="4">
        <v>0</v>
      </c>
    </row>
    <row r="1518" spans="1:9" x14ac:dyDescent="0.2">
      <c r="A1518" s="2">
        <v>14</v>
      </c>
      <c r="B1518" s="1" t="s">
        <v>120</v>
      </c>
      <c r="C1518" s="4">
        <v>3</v>
      </c>
      <c r="D1518" s="8">
        <v>1.62</v>
      </c>
      <c r="E1518" s="4">
        <v>1</v>
      </c>
      <c r="F1518" s="8">
        <v>0.96</v>
      </c>
      <c r="G1518" s="4">
        <v>2</v>
      </c>
      <c r="H1518" s="8">
        <v>2.63</v>
      </c>
      <c r="I1518" s="4">
        <v>0</v>
      </c>
    </row>
    <row r="1519" spans="1:9" x14ac:dyDescent="0.2">
      <c r="A1519" s="2">
        <v>14</v>
      </c>
      <c r="B1519" s="1" t="s">
        <v>141</v>
      </c>
      <c r="C1519" s="4">
        <v>3</v>
      </c>
      <c r="D1519" s="8">
        <v>1.62</v>
      </c>
      <c r="E1519" s="4">
        <v>1</v>
      </c>
      <c r="F1519" s="8">
        <v>0.96</v>
      </c>
      <c r="G1519" s="4">
        <v>2</v>
      </c>
      <c r="H1519" s="8">
        <v>2.63</v>
      </c>
      <c r="I1519" s="4">
        <v>0</v>
      </c>
    </row>
    <row r="1520" spans="1:9" x14ac:dyDescent="0.2">
      <c r="A1520" s="2">
        <v>14</v>
      </c>
      <c r="B1520" s="1" t="s">
        <v>132</v>
      </c>
      <c r="C1520" s="4">
        <v>3</v>
      </c>
      <c r="D1520" s="8">
        <v>1.62</v>
      </c>
      <c r="E1520" s="4">
        <v>3</v>
      </c>
      <c r="F1520" s="8">
        <v>2.88</v>
      </c>
      <c r="G1520" s="4">
        <v>0</v>
      </c>
      <c r="H1520" s="8">
        <v>0</v>
      </c>
      <c r="I1520" s="4">
        <v>0</v>
      </c>
    </row>
    <row r="1521" spans="1:9" x14ac:dyDescent="0.2">
      <c r="A1521" s="2">
        <v>14</v>
      </c>
      <c r="B1521" s="1" t="s">
        <v>146</v>
      </c>
      <c r="C1521" s="4">
        <v>3</v>
      </c>
      <c r="D1521" s="8">
        <v>1.62</v>
      </c>
      <c r="E1521" s="4">
        <v>0</v>
      </c>
      <c r="F1521" s="8">
        <v>0</v>
      </c>
      <c r="G1521" s="4">
        <v>3</v>
      </c>
      <c r="H1521" s="8">
        <v>3.95</v>
      </c>
      <c r="I1521" s="4">
        <v>0</v>
      </c>
    </row>
    <row r="1522" spans="1:9" x14ac:dyDescent="0.2">
      <c r="A1522" s="2">
        <v>14</v>
      </c>
      <c r="B1522" s="1" t="s">
        <v>110</v>
      </c>
      <c r="C1522" s="4">
        <v>3</v>
      </c>
      <c r="D1522" s="8">
        <v>1.62</v>
      </c>
      <c r="E1522" s="4">
        <v>1</v>
      </c>
      <c r="F1522" s="8">
        <v>0.96</v>
      </c>
      <c r="G1522" s="4">
        <v>2</v>
      </c>
      <c r="H1522" s="8">
        <v>2.63</v>
      </c>
      <c r="I1522" s="4">
        <v>0</v>
      </c>
    </row>
    <row r="1523" spans="1:9" x14ac:dyDescent="0.2">
      <c r="A1523" s="2">
        <v>14</v>
      </c>
      <c r="B1523" s="1" t="s">
        <v>147</v>
      </c>
      <c r="C1523" s="4">
        <v>3</v>
      </c>
      <c r="D1523" s="8">
        <v>1.62</v>
      </c>
      <c r="E1523" s="4">
        <v>1</v>
      </c>
      <c r="F1523" s="8">
        <v>0.96</v>
      </c>
      <c r="G1523" s="4">
        <v>1</v>
      </c>
      <c r="H1523" s="8">
        <v>1.32</v>
      </c>
      <c r="I1523" s="4">
        <v>0</v>
      </c>
    </row>
    <row r="1524" spans="1:9" x14ac:dyDescent="0.2">
      <c r="A1524" s="2">
        <v>14</v>
      </c>
      <c r="B1524" s="1" t="s">
        <v>119</v>
      </c>
      <c r="C1524" s="4">
        <v>3</v>
      </c>
      <c r="D1524" s="8">
        <v>1.62</v>
      </c>
      <c r="E1524" s="4">
        <v>0</v>
      </c>
      <c r="F1524" s="8">
        <v>0</v>
      </c>
      <c r="G1524" s="4">
        <v>3</v>
      </c>
      <c r="H1524" s="8">
        <v>3.95</v>
      </c>
      <c r="I1524" s="4">
        <v>0</v>
      </c>
    </row>
    <row r="1525" spans="1:9" x14ac:dyDescent="0.2">
      <c r="A1525" s="1"/>
      <c r="C1525" s="4"/>
      <c r="D1525" s="8"/>
      <c r="E1525" s="4"/>
      <c r="F1525" s="8"/>
      <c r="G1525" s="4"/>
      <c r="H1525" s="8"/>
      <c r="I1525" s="4"/>
    </row>
    <row r="1526" spans="1:9" x14ac:dyDescent="0.2">
      <c r="A1526" s="1" t="s">
        <v>68</v>
      </c>
      <c r="C1526" s="4"/>
      <c r="D1526" s="8"/>
      <c r="E1526" s="4"/>
      <c r="F1526" s="8"/>
      <c r="G1526" s="4"/>
      <c r="H1526" s="8"/>
      <c r="I1526" s="4"/>
    </row>
    <row r="1527" spans="1:9" x14ac:dyDescent="0.2">
      <c r="A1527" s="2">
        <v>1</v>
      </c>
      <c r="B1527" s="1" t="s">
        <v>120</v>
      </c>
      <c r="C1527" s="4">
        <v>33</v>
      </c>
      <c r="D1527" s="8">
        <v>9.6199999999999992</v>
      </c>
      <c r="E1527" s="4">
        <v>16</v>
      </c>
      <c r="F1527" s="8">
        <v>8.94</v>
      </c>
      <c r="G1527" s="4">
        <v>17</v>
      </c>
      <c r="H1527" s="8">
        <v>10.56</v>
      </c>
      <c r="I1527" s="4">
        <v>0</v>
      </c>
    </row>
    <row r="1528" spans="1:9" x14ac:dyDescent="0.2">
      <c r="A1528" s="2">
        <v>1</v>
      </c>
      <c r="B1528" s="1" t="s">
        <v>113</v>
      </c>
      <c r="C1528" s="4">
        <v>33</v>
      </c>
      <c r="D1528" s="8">
        <v>9.6199999999999992</v>
      </c>
      <c r="E1528" s="4">
        <v>32</v>
      </c>
      <c r="F1528" s="8">
        <v>17.88</v>
      </c>
      <c r="G1528" s="4">
        <v>1</v>
      </c>
      <c r="H1528" s="8">
        <v>0.62</v>
      </c>
      <c r="I1528" s="4">
        <v>0</v>
      </c>
    </row>
    <row r="1529" spans="1:9" x14ac:dyDescent="0.2">
      <c r="A1529" s="2">
        <v>3</v>
      </c>
      <c r="B1529" s="1" t="s">
        <v>114</v>
      </c>
      <c r="C1529" s="4">
        <v>25</v>
      </c>
      <c r="D1529" s="8">
        <v>7.29</v>
      </c>
      <c r="E1529" s="4">
        <v>23</v>
      </c>
      <c r="F1529" s="8">
        <v>12.85</v>
      </c>
      <c r="G1529" s="4">
        <v>2</v>
      </c>
      <c r="H1529" s="8">
        <v>1.24</v>
      </c>
      <c r="I1529" s="4">
        <v>0</v>
      </c>
    </row>
    <row r="1530" spans="1:9" x14ac:dyDescent="0.2">
      <c r="A1530" s="2">
        <v>4</v>
      </c>
      <c r="B1530" s="1" t="s">
        <v>108</v>
      </c>
      <c r="C1530" s="4">
        <v>22</v>
      </c>
      <c r="D1530" s="8">
        <v>6.41</v>
      </c>
      <c r="E1530" s="4">
        <v>16</v>
      </c>
      <c r="F1530" s="8">
        <v>8.94</v>
      </c>
      <c r="G1530" s="4">
        <v>6</v>
      </c>
      <c r="H1530" s="8">
        <v>3.73</v>
      </c>
      <c r="I1530" s="4">
        <v>0</v>
      </c>
    </row>
    <row r="1531" spans="1:9" x14ac:dyDescent="0.2">
      <c r="A1531" s="2">
        <v>5</v>
      </c>
      <c r="B1531" s="1" t="s">
        <v>110</v>
      </c>
      <c r="C1531" s="4">
        <v>21</v>
      </c>
      <c r="D1531" s="8">
        <v>6.12</v>
      </c>
      <c r="E1531" s="4">
        <v>2</v>
      </c>
      <c r="F1531" s="8">
        <v>1.1200000000000001</v>
      </c>
      <c r="G1531" s="4">
        <v>19</v>
      </c>
      <c r="H1531" s="8">
        <v>11.8</v>
      </c>
      <c r="I1531" s="4">
        <v>0</v>
      </c>
    </row>
    <row r="1532" spans="1:9" x14ac:dyDescent="0.2">
      <c r="A1532" s="2">
        <v>6</v>
      </c>
      <c r="B1532" s="1" t="s">
        <v>116</v>
      </c>
      <c r="C1532" s="4">
        <v>20</v>
      </c>
      <c r="D1532" s="8">
        <v>5.83</v>
      </c>
      <c r="E1532" s="4">
        <v>15</v>
      </c>
      <c r="F1532" s="8">
        <v>8.3800000000000008</v>
      </c>
      <c r="G1532" s="4">
        <v>5</v>
      </c>
      <c r="H1532" s="8">
        <v>3.11</v>
      </c>
      <c r="I1532" s="4">
        <v>0</v>
      </c>
    </row>
    <row r="1533" spans="1:9" x14ac:dyDescent="0.2">
      <c r="A1533" s="2">
        <v>7</v>
      </c>
      <c r="B1533" s="1" t="s">
        <v>98</v>
      </c>
      <c r="C1533" s="4">
        <v>17</v>
      </c>
      <c r="D1533" s="8">
        <v>4.96</v>
      </c>
      <c r="E1533" s="4">
        <v>3</v>
      </c>
      <c r="F1533" s="8">
        <v>1.68</v>
      </c>
      <c r="G1533" s="4">
        <v>14</v>
      </c>
      <c r="H1533" s="8">
        <v>8.6999999999999993</v>
      </c>
      <c r="I1533" s="4">
        <v>0</v>
      </c>
    </row>
    <row r="1534" spans="1:9" x14ac:dyDescent="0.2">
      <c r="A1534" s="2">
        <v>7</v>
      </c>
      <c r="B1534" s="1" t="s">
        <v>100</v>
      </c>
      <c r="C1534" s="4">
        <v>17</v>
      </c>
      <c r="D1534" s="8">
        <v>4.96</v>
      </c>
      <c r="E1534" s="4">
        <v>2</v>
      </c>
      <c r="F1534" s="8">
        <v>1.1200000000000001</v>
      </c>
      <c r="G1534" s="4">
        <v>15</v>
      </c>
      <c r="H1534" s="8">
        <v>9.32</v>
      </c>
      <c r="I1534" s="4">
        <v>0</v>
      </c>
    </row>
    <row r="1535" spans="1:9" x14ac:dyDescent="0.2">
      <c r="A1535" s="2">
        <v>7</v>
      </c>
      <c r="B1535" s="1" t="s">
        <v>106</v>
      </c>
      <c r="C1535" s="4">
        <v>17</v>
      </c>
      <c r="D1535" s="8">
        <v>4.96</v>
      </c>
      <c r="E1535" s="4">
        <v>15</v>
      </c>
      <c r="F1535" s="8">
        <v>8.3800000000000008</v>
      </c>
      <c r="G1535" s="4">
        <v>2</v>
      </c>
      <c r="H1535" s="8">
        <v>1.24</v>
      </c>
      <c r="I1535" s="4">
        <v>0</v>
      </c>
    </row>
    <row r="1536" spans="1:9" x14ac:dyDescent="0.2">
      <c r="A1536" s="2">
        <v>10</v>
      </c>
      <c r="B1536" s="1" t="s">
        <v>107</v>
      </c>
      <c r="C1536" s="4">
        <v>13</v>
      </c>
      <c r="D1536" s="8">
        <v>3.79</v>
      </c>
      <c r="E1536" s="4">
        <v>9</v>
      </c>
      <c r="F1536" s="8">
        <v>5.03</v>
      </c>
      <c r="G1536" s="4">
        <v>4</v>
      </c>
      <c r="H1536" s="8">
        <v>2.48</v>
      </c>
      <c r="I1536" s="4">
        <v>0</v>
      </c>
    </row>
    <row r="1537" spans="1:9" x14ac:dyDescent="0.2">
      <c r="A1537" s="2">
        <v>11</v>
      </c>
      <c r="B1537" s="1" t="s">
        <v>129</v>
      </c>
      <c r="C1537" s="4">
        <v>10</v>
      </c>
      <c r="D1537" s="8">
        <v>2.92</v>
      </c>
      <c r="E1537" s="4">
        <v>7</v>
      </c>
      <c r="F1537" s="8">
        <v>3.91</v>
      </c>
      <c r="G1537" s="4">
        <v>3</v>
      </c>
      <c r="H1537" s="8">
        <v>1.86</v>
      </c>
      <c r="I1537" s="4">
        <v>0</v>
      </c>
    </row>
    <row r="1538" spans="1:9" x14ac:dyDescent="0.2">
      <c r="A1538" s="2">
        <v>12</v>
      </c>
      <c r="B1538" s="1" t="s">
        <v>105</v>
      </c>
      <c r="C1538" s="4">
        <v>9</v>
      </c>
      <c r="D1538" s="8">
        <v>2.62</v>
      </c>
      <c r="E1538" s="4">
        <v>8</v>
      </c>
      <c r="F1538" s="8">
        <v>4.47</v>
      </c>
      <c r="G1538" s="4">
        <v>1</v>
      </c>
      <c r="H1538" s="8">
        <v>0.62</v>
      </c>
      <c r="I1538" s="4">
        <v>0</v>
      </c>
    </row>
    <row r="1539" spans="1:9" x14ac:dyDescent="0.2">
      <c r="A1539" s="2">
        <v>13</v>
      </c>
      <c r="B1539" s="1" t="s">
        <v>115</v>
      </c>
      <c r="C1539" s="4">
        <v>8</v>
      </c>
      <c r="D1539" s="8">
        <v>2.33</v>
      </c>
      <c r="E1539" s="4">
        <v>3</v>
      </c>
      <c r="F1539" s="8">
        <v>1.68</v>
      </c>
      <c r="G1539" s="4">
        <v>3</v>
      </c>
      <c r="H1539" s="8">
        <v>1.86</v>
      </c>
      <c r="I1539" s="4">
        <v>0</v>
      </c>
    </row>
    <row r="1540" spans="1:9" x14ac:dyDescent="0.2">
      <c r="A1540" s="2">
        <v>14</v>
      </c>
      <c r="B1540" s="1" t="s">
        <v>99</v>
      </c>
      <c r="C1540" s="4">
        <v>7</v>
      </c>
      <c r="D1540" s="8">
        <v>2.04</v>
      </c>
      <c r="E1540" s="4">
        <v>2</v>
      </c>
      <c r="F1540" s="8">
        <v>1.1200000000000001</v>
      </c>
      <c r="G1540" s="4">
        <v>5</v>
      </c>
      <c r="H1540" s="8">
        <v>3.11</v>
      </c>
      <c r="I1540" s="4">
        <v>0</v>
      </c>
    </row>
    <row r="1541" spans="1:9" x14ac:dyDescent="0.2">
      <c r="A1541" s="2">
        <v>14</v>
      </c>
      <c r="B1541" s="1" t="s">
        <v>103</v>
      </c>
      <c r="C1541" s="4">
        <v>7</v>
      </c>
      <c r="D1541" s="8">
        <v>2.04</v>
      </c>
      <c r="E1541" s="4">
        <v>2</v>
      </c>
      <c r="F1541" s="8">
        <v>1.1200000000000001</v>
      </c>
      <c r="G1541" s="4">
        <v>5</v>
      </c>
      <c r="H1541" s="8">
        <v>3.11</v>
      </c>
      <c r="I1541" s="4">
        <v>0</v>
      </c>
    </row>
    <row r="1542" spans="1:9" x14ac:dyDescent="0.2">
      <c r="A1542" s="2">
        <v>16</v>
      </c>
      <c r="B1542" s="1" t="s">
        <v>102</v>
      </c>
      <c r="C1542" s="4">
        <v>6</v>
      </c>
      <c r="D1542" s="8">
        <v>1.75</v>
      </c>
      <c r="E1542" s="4">
        <v>1</v>
      </c>
      <c r="F1542" s="8">
        <v>0.56000000000000005</v>
      </c>
      <c r="G1542" s="4">
        <v>5</v>
      </c>
      <c r="H1542" s="8">
        <v>3.11</v>
      </c>
      <c r="I1542" s="4">
        <v>0</v>
      </c>
    </row>
    <row r="1543" spans="1:9" x14ac:dyDescent="0.2">
      <c r="A1543" s="2">
        <v>17</v>
      </c>
      <c r="B1543" s="1" t="s">
        <v>127</v>
      </c>
      <c r="C1543" s="4">
        <v>5</v>
      </c>
      <c r="D1543" s="8">
        <v>1.46</v>
      </c>
      <c r="E1543" s="4">
        <v>0</v>
      </c>
      <c r="F1543" s="8">
        <v>0</v>
      </c>
      <c r="G1543" s="4">
        <v>5</v>
      </c>
      <c r="H1543" s="8">
        <v>3.11</v>
      </c>
      <c r="I1543" s="4">
        <v>0</v>
      </c>
    </row>
    <row r="1544" spans="1:9" x14ac:dyDescent="0.2">
      <c r="A1544" s="2">
        <v>17</v>
      </c>
      <c r="B1544" s="1" t="s">
        <v>109</v>
      </c>
      <c r="C1544" s="4">
        <v>5</v>
      </c>
      <c r="D1544" s="8">
        <v>1.46</v>
      </c>
      <c r="E1544" s="4">
        <v>2</v>
      </c>
      <c r="F1544" s="8">
        <v>1.1200000000000001</v>
      </c>
      <c r="G1544" s="4">
        <v>3</v>
      </c>
      <c r="H1544" s="8">
        <v>1.86</v>
      </c>
      <c r="I1544" s="4">
        <v>0</v>
      </c>
    </row>
    <row r="1545" spans="1:9" x14ac:dyDescent="0.2">
      <c r="A1545" s="2">
        <v>17</v>
      </c>
      <c r="B1545" s="1" t="s">
        <v>111</v>
      </c>
      <c r="C1545" s="4">
        <v>5</v>
      </c>
      <c r="D1545" s="8">
        <v>1.46</v>
      </c>
      <c r="E1545" s="4">
        <v>3</v>
      </c>
      <c r="F1545" s="8">
        <v>1.68</v>
      </c>
      <c r="G1545" s="4">
        <v>2</v>
      </c>
      <c r="H1545" s="8">
        <v>1.24</v>
      </c>
      <c r="I1545" s="4">
        <v>0</v>
      </c>
    </row>
    <row r="1546" spans="1:9" x14ac:dyDescent="0.2">
      <c r="A1546" s="2">
        <v>17</v>
      </c>
      <c r="B1546" s="1" t="s">
        <v>130</v>
      </c>
      <c r="C1546" s="4">
        <v>5</v>
      </c>
      <c r="D1546" s="8">
        <v>1.46</v>
      </c>
      <c r="E1546" s="4">
        <v>4</v>
      </c>
      <c r="F1546" s="8">
        <v>2.23</v>
      </c>
      <c r="G1546" s="4">
        <v>1</v>
      </c>
      <c r="H1546" s="8">
        <v>0.62</v>
      </c>
      <c r="I1546" s="4">
        <v>0</v>
      </c>
    </row>
    <row r="1547" spans="1:9" x14ac:dyDescent="0.2">
      <c r="A1547" s="2">
        <v>17</v>
      </c>
      <c r="B1547" s="1" t="s">
        <v>117</v>
      </c>
      <c r="C1547" s="4">
        <v>5</v>
      </c>
      <c r="D1547" s="8">
        <v>1.46</v>
      </c>
      <c r="E1547" s="4">
        <v>0</v>
      </c>
      <c r="F1547" s="8">
        <v>0</v>
      </c>
      <c r="G1547" s="4">
        <v>4</v>
      </c>
      <c r="H1547" s="8">
        <v>2.48</v>
      </c>
      <c r="I1547" s="4">
        <v>0</v>
      </c>
    </row>
    <row r="1548" spans="1:9" x14ac:dyDescent="0.2">
      <c r="A1548" s="1"/>
      <c r="C1548" s="4"/>
      <c r="D1548" s="8"/>
      <c r="E1548" s="4"/>
      <c r="F1548" s="8"/>
      <c r="G1548" s="4"/>
      <c r="H1548" s="8"/>
      <c r="I1548" s="4"/>
    </row>
    <row r="1549" spans="1:9" x14ac:dyDescent="0.2">
      <c r="A1549" s="1" t="s">
        <v>69</v>
      </c>
      <c r="C1549" s="4"/>
      <c r="D1549" s="8"/>
      <c r="E1549" s="4"/>
      <c r="F1549" s="8"/>
      <c r="G1549" s="4"/>
      <c r="H1549" s="8"/>
      <c r="I1549" s="4"/>
    </row>
    <row r="1550" spans="1:9" x14ac:dyDescent="0.2">
      <c r="A1550" s="2">
        <v>1</v>
      </c>
      <c r="B1550" s="1" t="s">
        <v>110</v>
      </c>
      <c r="C1550" s="4">
        <v>84</v>
      </c>
      <c r="D1550" s="8">
        <v>10.99</v>
      </c>
      <c r="E1550" s="4">
        <v>46</v>
      </c>
      <c r="F1550" s="8">
        <v>9.77</v>
      </c>
      <c r="G1550" s="4">
        <v>38</v>
      </c>
      <c r="H1550" s="8">
        <v>13.29</v>
      </c>
      <c r="I1550" s="4">
        <v>0</v>
      </c>
    </row>
    <row r="1551" spans="1:9" x14ac:dyDescent="0.2">
      <c r="A1551" s="2">
        <v>2</v>
      </c>
      <c r="B1551" s="1" t="s">
        <v>114</v>
      </c>
      <c r="C1551" s="4">
        <v>71</v>
      </c>
      <c r="D1551" s="8">
        <v>9.2899999999999991</v>
      </c>
      <c r="E1551" s="4">
        <v>66</v>
      </c>
      <c r="F1551" s="8">
        <v>14.01</v>
      </c>
      <c r="G1551" s="4">
        <v>5</v>
      </c>
      <c r="H1551" s="8">
        <v>1.75</v>
      </c>
      <c r="I1551" s="4">
        <v>0</v>
      </c>
    </row>
    <row r="1552" spans="1:9" x14ac:dyDescent="0.2">
      <c r="A1552" s="2">
        <v>3</v>
      </c>
      <c r="B1552" s="1" t="s">
        <v>113</v>
      </c>
      <c r="C1552" s="4">
        <v>62</v>
      </c>
      <c r="D1552" s="8">
        <v>8.1199999999999992</v>
      </c>
      <c r="E1552" s="4">
        <v>59</v>
      </c>
      <c r="F1552" s="8">
        <v>12.53</v>
      </c>
      <c r="G1552" s="4">
        <v>3</v>
      </c>
      <c r="H1552" s="8">
        <v>1.05</v>
      </c>
      <c r="I1552" s="4">
        <v>0</v>
      </c>
    </row>
    <row r="1553" spans="1:9" x14ac:dyDescent="0.2">
      <c r="A1553" s="2">
        <v>4</v>
      </c>
      <c r="B1553" s="1" t="s">
        <v>98</v>
      </c>
      <c r="C1553" s="4">
        <v>52</v>
      </c>
      <c r="D1553" s="8">
        <v>6.81</v>
      </c>
      <c r="E1553" s="4">
        <v>17</v>
      </c>
      <c r="F1553" s="8">
        <v>3.61</v>
      </c>
      <c r="G1553" s="4">
        <v>35</v>
      </c>
      <c r="H1553" s="8">
        <v>12.24</v>
      </c>
      <c r="I1553" s="4">
        <v>0</v>
      </c>
    </row>
    <row r="1554" spans="1:9" x14ac:dyDescent="0.2">
      <c r="A1554" s="2">
        <v>5</v>
      </c>
      <c r="B1554" s="1" t="s">
        <v>115</v>
      </c>
      <c r="C1554" s="4">
        <v>49</v>
      </c>
      <c r="D1554" s="8">
        <v>6.41</v>
      </c>
      <c r="E1554" s="4">
        <v>40</v>
      </c>
      <c r="F1554" s="8">
        <v>8.49</v>
      </c>
      <c r="G1554" s="4">
        <v>7</v>
      </c>
      <c r="H1554" s="8">
        <v>2.4500000000000002</v>
      </c>
      <c r="I1554" s="4">
        <v>0</v>
      </c>
    </row>
    <row r="1555" spans="1:9" x14ac:dyDescent="0.2">
      <c r="A1555" s="2">
        <v>6</v>
      </c>
      <c r="B1555" s="1" t="s">
        <v>120</v>
      </c>
      <c r="C1555" s="4">
        <v>48</v>
      </c>
      <c r="D1555" s="8">
        <v>6.28</v>
      </c>
      <c r="E1555" s="4">
        <v>32</v>
      </c>
      <c r="F1555" s="8">
        <v>6.79</v>
      </c>
      <c r="G1555" s="4">
        <v>16</v>
      </c>
      <c r="H1555" s="8">
        <v>5.59</v>
      </c>
      <c r="I1555" s="4">
        <v>0</v>
      </c>
    </row>
    <row r="1556" spans="1:9" x14ac:dyDescent="0.2">
      <c r="A1556" s="2">
        <v>7</v>
      </c>
      <c r="B1556" s="1" t="s">
        <v>108</v>
      </c>
      <c r="C1556" s="4">
        <v>45</v>
      </c>
      <c r="D1556" s="8">
        <v>5.89</v>
      </c>
      <c r="E1556" s="4">
        <v>30</v>
      </c>
      <c r="F1556" s="8">
        <v>6.37</v>
      </c>
      <c r="G1556" s="4">
        <v>14</v>
      </c>
      <c r="H1556" s="8">
        <v>4.9000000000000004</v>
      </c>
      <c r="I1556" s="4">
        <v>1</v>
      </c>
    </row>
    <row r="1557" spans="1:9" x14ac:dyDescent="0.2">
      <c r="A1557" s="2">
        <v>8</v>
      </c>
      <c r="B1557" s="1" t="s">
        <v>106</v>
      </c>
      <c r="C1557" s="4">
        <v>35</v>
      </c>
      <c r="D1557" s="8">
        <v>4.58</v>
      </c>
      <c r="E1557" s="4">
        <v>31</v>
      </c>
      <c r="F1557" s="8">
        <v>6.58</v>
      </c>
      <c r="G1557" s="4">
        <v>4</v>
      </c>
      <c r="H1557" s="8">
        <v>1.4</v>
      </c>
      <c r="I1557" s="4">
        <v>0</v>
      </c>
    </row>
    <row r="1558" spans="1:9" x14ac:dyDescent="0.2">
      <c r="A1558" s="2">
        <v>9</v>
      </c>
      <c r="B1558" s="1" t="s">
        <v>100</v>
      </c>
      <c r="C1558" s="4">
        <v>31</v>
      </c>
      <c r="D1558" s="8">
        <v>4.0599999999999996</v>
      </c>
      <c r="E1558" s="4">
        <v>13</v>
      </c>
      <c r="F1558" s="8">
        <v>2.76</v>
      </c>
      <c r="G1558" s="4">
        <v>18</v>
      </c>
      <c r="H1558" s="8">
        <v>6.29</v>
      </c>
      <c r="I1558" s="4">
        <v>0</v>
      </c>
    </row>
    <row r="1559" spans="1:9" x14ac:dyDescent="0.2">
      <c r="A1559" s="2">
        <v>10</v>
      </c>
      <c r="B1559" s="1" t="s">
        <v>99</v>
      </c>
      <c r="C1559" s="4">
        <v>28</v>
      </c>
      <c r="D1559" s="8">
        <v>3.66</v>
      </c>
      <c r="E1559" s="4">
        <v>12</v>
      </c>
      <c r="F1559" s="8">
        <v>2.5499999999999998</v>
      </c>
      <c r="G1559" s="4">
        <v>16</v>
      </c>
      <c r="H1559" s="8">
        <v>5.59</v>
      </c>
      <c r="I1559" s="4">
        <v>0</v>
      </c>
    </row>
    <row r="1560" spans="1:9" x14ac:dyDescent="0.2">
      <c r="A1560" s="2">
        <v>11</v>
      </c>
      <c r="B1560" s="1" t="s">
        <v>116</v>
      </c>
      <c r="C1560" s="4">
        <v>27</v>
      </c>
      <c r="D1560" s="8">
        <v>3.53</v>
      </c>
      <c r="E1560" s="4">
        <v>18</v>
      </c>
      <c r="F1560" s="8">
        <v>3.82</v>
      </c>
      <c r="G1560" s="4">
        <v>9</v>
      </c>
      <c r="H1560" s="8">
        <v>3.15</v>
      </c>
      <c r="I1560" s="4">
        <v>0</v>
      </c>
    </row>
    <row r="1561" spans="1:9" x14ac:dyDescent="0.2">
      <c r="A1561" s="2">
        <v>12</v>
      </c>
      <c r="B1561" s="1" t="s">
        <v>107</v>
      </c>
      <c r="C1561" s="4">
        <v>23</v>
      </c>
      <c r="D1561" s="8">
        <v>3.01</v>
      </c>
      <c r="E1561" s="4">
        <v>20</v>
      </c>
      <c r="F1561" s="8">
        <v>4.25</v>
      </c>
      <c r="G1561" s="4">
        <v>3</v>
      </c>
      <c r="H1561" s="8">
        <v>1.05</v>
      </c>
      <c r="I1561" s="4">
        <v>0</v>
      </c>
    </row>
    <row r="1562" spans="1:9" x14ac:dyDescent="0.2">
      <c r="A1562" s="2">
        <v>13</v>
      </c>
      <c r="B1562" s="1" t="s">
        <v>117</v>
      </c>
      <c r="C1562" s="4">
        <v>22</v>
      </c>
      <c r="D1562" s="8">
        <v>2.88</v>
      </c>
      <c r="E1562" s="4">
        <v>0</v>
      </c>
      <c r="F1562" s="8">
        <v>0</v>
      </c>
      <c r="G1562" s="4">
        <v>21</v>
      </c>
      <c r="H1562" s="8">
        <v>7.34</v>
      </c>
      <c r="I1562" s="4">
        <v>0</v>
      </c>
    </row>
    <row r="1563" spans="1:9" x14ac:dyDescent="0.2">
      <c r="A1563" s="2">
        <v>14</v>
      </c>
      <c r="B1563" s="1" t="s">
        <v>111</v>
      </c>
      <c r="C1563" s="4">
        <v>21</v>
      </c>
      <c r="D1563" s="8">
        <v>2.75</v>
      </c>
      <c r="E1563" s="4">
        <v>13</v>
      </c>
      <c r="F1563" s="8">
        <v>2.76</v>
      </c>
      <c r="G1563" s="4">
        <v>8</v>
      </c>
      <c r="H1563" s="8">
        <v>2.8</v>
      </c>
      <c r="I1563" s="4">
        <v>0</v>
      </c>
    </row>
    <row r="1564" spans="1:9" x14ac:dyDescent="0.2">
      <c r="A1564" s="2">
        <v>15</v>
      </c>
      <c r="B1564" s="1" t="s">
        <v>105</v>
      </c>
      <c r="C1564" s="4">
        <v>18</v>
      </c>
      <c r="D1564" s="8">
        <v>2.36</v>
      </c>
      <c r="E1564" s="4">
        <v>13</v>
      </c>
      <c r="F1564" s="8">
        <v>2.76</v>
      </c>
      <c r="G1564" s="4">
        <v>5</v>
      </c>
      <c r="H1564" s="8">
        <v>1.75</v>
      </c>
      <c r="I1564" s="4">
        <v>0</v>
      </c>
    </row>
    <row r="1565" spans="1:9" x14ac:dyDescent="0.2">
      <c r="A1565" s="2">
        <v>16</v>
      </c>
      <c r="B1565" s="1" t="s">
        <v>130</v>
      </c>
      <c r="C1565" s="4">
        <v>15</v>
      </c>
      <c r="D1565" s="8">
        <v>1.96</v>
      </c>
      <c r="E1565" s="4">
        <v>10</v>
      </c>
      <c r="F1565" s="8">
        <v>2.12</v>
      </c>
      <c r="G1565" s="4">
        <v>4</v>
      </c>
      <c r="H1565" s="8">
        <v>1.4</v>
      </c>
      <c r="I1565" s="4">
        <v>0</v>
      </c>
    </row>
    <row r="1566" spans="1:9" x14ac:dyDescent="0.2">
      <c r="A1566" s="2">
        <v>17</v>
      </c>
      <c r="B1566" s="1" t="s">
        <v>109</v>
      </c>
      <c r="C1566" s="4">
        <v>13</v>
      </c>
      <c r="D1566" s="8">
        <v>1.7</v>
      </c>
      <c r="E1566" s="4">
        <v>2</v>
      </c>
      <c r="F1566" s="8">
        <v>0.42</v>
      </c>
      <c r="G1566" s="4">
        <v>11</v>
      </c>
      <c r="H1566" s="8">
        <v>3.85</v>
      </c>
      <c r="I1566" s="4">
        <v>0</v>
      </c>
    </row>
    <row r="1567" spans="1:9" x14ac:dyDescent="0.2">
      <c r="A1567" s="2">
        <v>18</v>
      </c>
      <c r="B1567" s="1" t="s">
        <v>129</v>
      </c>
      <c r="C1567" s="4">
        <v>12</v>
      </c>
      <c r="D1567" s="8">
        <v>1.57</v>
      </c>
      <c r="E1567" s="4">
        <v>11</v>
      </c>
      <c r="F1567" s="8">
        <v>2.34</v>
      </c>
      <c r="G1567" s="4">
        <v>1</v>
      </c>
      <c r="H1567" s="8">
        <v>0.35</v>
      </c>
      <c r="I1567" s="4">
        <v>0</v>
      </c>
    </row>
    <row r="1568" spans="1:9" x14ac:dyDescent="0.2">
      <c r="A1568" s="2">
        <v>19</v>
      </c>
      <c r="B1568" s="1" t="s">
        <v>112</v>
      </c>
      <c r="C1568" s="4">
        <v>10</v>
      </c>
      <c r="D1568" s="8">
        <v>1.31</v>
      </c>
      <c r="E1568" s="4">
        <v>6</v>
      </c>
      <c r="F1568" s="8">
        <v>1.27</v>
      </c>
      <c r="G1568" s="4">
        <v>4</v>
      </c>
      <c r="H1568" s="8">
        <v>1.4</v>
      </c>
      <c r="I1568" s="4">
        <v>0</v>
      </c>
    </row>
    <row r="1569" spans="1:9" x14ac:dyDescent="0.2">
      <c r="A1569" s="2">
        <v>20</v>
      </c>
      <c r="B1569" s="1" t="s">
        <v>101</v>
      </c>
      <c r="C1569" s="4">
        <v>9</v>
      </c>
      <c r="D1569" s="8">
        <v>1.18</v>
      </c>
      <c r="E1569" s="4">
        <v>3</v>
      </c>
      <c r="F1569" s="8">
        <v>0.64</v>
      </c>
      <c r="G1569" s="4">
        <v>6</v>
      </c>
      <c r="H1569" s="8">
        <v>2.1</v>
      </c>
      <c r="I1569" s="4">
        <v>0</v>
      </c>
    </row>
    <row r="1570" spans="1:9" x14ac:dyDescent="0.2">
      <c r="A1570" s="2">
        <v>20</v>
      </c>
      <c r="B1570" s="1" t="s">
        <v>104</v>
      </c>
      <c r="C1570" s="4">
        <v>9</v>
      </c>
      <c r="D1570" s="8">
        <v>1.18</v>
      </c>
      <c r="E1570" s="4">
        <v>1</v>
      </c>
      <c r="F1570" s="8">
        <v>0.21</v>
      </c>
      <c r="G1570" s="4">
        <v>8</v>
      </c>
      <c r="H1570" s="8">
        <v>2.8</v>
      </c>
      <c r="I1570" s="4">
        <v>0</v>
      </c>
    </row>
    <row r="1571" spans="1:9" x14ac:dyDescent="0.2">
      <c r="A1571" s="2">
        <v>20</v>
      </c>
      <c r="B1571" s="1" t="s">
        <v>124</v>
      </c>
      <c r="C1571" s="4">
        <v>9</v>
      </c>
      <c r="D1571" s="8">
        <v>1.18</v>
      </c>
      <c r="E1571" s="4">
        <v>6</v>
      </c>
      <c r="F1571" s="8">
        <v>1.27</v>
      </c>
      <c r="G1571" s="4">
        <v>3</v>
      </c>
      <c r="H1571" s="8">
        <v>1.05</v>
      </c>
      <c r="I1571" s="4">
        <v>0</v>
      </c>
    </row>
    <row r="1572" spans="1:9" x14ac:dyDescent="0.2">
      <c r="A1572" s="1"/>
      <c r="C1572" s="4"/>
      <c r="D1572" s="8"/>
      <c r="E1572" s="4"/>
      <c r="F1572" s="8"/>
      <c r="G1572" s="4"/>
      <c r="H1572" s="8"/>
      <c r="I1572" s="4"/>
    </row>
    <row r="1573" spans="1:9" x14ac:dyDescent="0.2">
      <c r="A1573" s="1" t="s">
        <v>70</v>
      </c>
      <c r="C1573" s="4"/>
      <c r="D1573" s="8"/>
      <c r="E1573" s="4"/>
      <c r="F1573" s="8"/>
      <c r="G1573" s="4"/>
      <c r="H1573" s="8"/>
      <c r="I1573" s="4"/>
    </row>
    <row r="1574" spans="1:9" x14ac:dyDescent="0.2">
      <c r="A1574" s="2">
        <v>1</v>
      </c>
      <c r="B1574" s="1" t="s">
        <v>108</v>
      </c>
      <c r="C1574" s="4">
        <v>19</v>
      </c>
      <c r="D1574" s="8">
        <v>11.52</v>
      </c>
      <c r="E1574" s="4">
        <v>12</v>
      </c>
      <c r="F1574" s="8">
        <v>11.76</v>
      </c>
      <c r="G1574" s="4">
        <v>7</v>
      </c>
      <c r="H1574" s="8">
        <v>11.29</v>
      </c>
      <c r="I1574" s="4">
        <v>0</v>
      </c>
    </row>
    <row r="1575" spans="1:9" x14ac:dyDescent="0.2">
      <c r="A1575" s="2">
        <v>1</v>
      </c>
      <c r="B1575" s="1" t="s">
        <v>110</v>
      </c>
      <c r="C1575" s="4">
        <v>19</v>
      </c>
      <c r="D1575" s="8">
        <v>11.52</v>
      </c>
      <c r="E1575" s="4">
        <v>18</v>
      </c>
      <c r="F1575" s="8">
        <v>17.649999999999999</v>
      </c>
      <c r="G1575" s="4">
        <v>1</v>
      </c>
      <c r="H1575" s="8">
        <v>1.61</v>
      </c>
      <c r="I1575" s="4">
        <v>0</v>
      </c>
    </row>
    <row r="1576" spans="1:9" x14ac:dyDescent="0.2">
      <c r="A1576" s="2">
        <v>3</v>
      </c>
      <c r="B1576" s="1" t="s">
        <v>114</v>
      </c>
      <c r="C1576" s="4">
        <v>17</v>
      </c>
      <c r="D1576" s="8">
        <v>10.3</v>
      </c>
      <c r="E1576" s="4">
        <v>17</v>
      </c>
      <c r="F1576" s="8">
        <v>16.670000000000002</v>
      </c>
      <c r="G1576" s="4">
        <v>0</v>
      </c>
      <c r="H1576" s="8">
        <v>0</v>
      </c>
      <c r="I1576" s="4">
        <v>0</v>
      </c>
    </row>
    <row r="1577" spans="1:9" x14ac:dyDescent="0.2">
      <c r="A1577" s="2">
        <v>4</v>
      </c>
      <c r="B1577" s="1" t="s">
        <v>106</v>
      </c>
      <c r="C1577" s="4">
        <v>12</v>
      </c>
      <c r="D1577" s="8">
        <v>7.27</v>
      </c>
      <c r="E1577" s="4">
        <v>9</v>
      </c>
      <c r="F1577" s="8">
        <v>8.82</v>
      </c>
      <c r="G1577" s="4">
        <v>3</v>
      </c>
      <c r="H1577" s="8">
        <v>4.84</v>
      </c>
      <c r="I1577" s="4">
        <v>0</v>
      </c>
    </row>
    <row r="1578" spans="1:9" x14ac:dyDescent="0.2">
      <c r="A1578" s="2">
        <v>5</v>
      </c>
      <c r="B1578" s="1" t="s">
        <v>148</v>
      </c>
      <c r="C1578" s="4">
        <v>11</v>
      </c>
      <c r="D1578" s="8">
        <v>6.67</v>
      </c>
      <c r="E1578" s="4">
        <v>0</v>
      </c>
      <c r="F1578" s="8">
        <v>0</v>
      </c>
      <c r="G1578" s="4">
        <v>11</v>
      </c>
      <c r="H1578" s="8">
        <v>17.739999999999998</v>
      </c>
      <c r="I1578" s="4">
        <v>0</v>
      </c>
    </row>
    <row r="1579" spans="1:9" x14ac:dyDescent="0.2">
      <c r="A1579" s="2">
        <v>5</v>
      </c>
      <c r="B1579" s="1" t="s">
        <v>113</v>
      </c>
      <c r="C1579" s="4">
        <v>11</v>
      </c>
      <c r="D1579" s="8">
        <v>6.67</v>
      </c>
      <c r="E1579" s="4">
        <v>7</v>
      </c>
      <c r="F1579" s="8">
        <v>6.86</v>
      </c>
      <c r="G1579" s="4">
        <v>4</v>
      </c>
      <c r="H1579" s="8">
        <v>6.45</v>
      </c>
      <c r="I1579" s="4">
        <v>0</v>
      </c>
    </row>
    <row r="1580" spans="1:9" x14ac:dyDescent="0.2">
      <c r="A1580" s="2">
        <v>7</v>
      </c>
      <c r="B1580" s="1" t="s">
        <v>115</v>
      </c>
      <c r="C1580" s="4">
        <v>9</v>
      </c>
      <c r="D1580" s="8">
        <v>5.45</v>
      </c>
      <c r="E1580" s="4">
        <v>9</v>
      </c>
      <c r="F1580" s="8">
        <v>8.82</v>
      </c>
      <c r="G1580" s="4">
        <v>0</v>
      </c>
      <c r="H1580" s="8">
        <v>0</v>
      </c>
      <c r="I1580" s="4">
        <v>0</v>
      </c>
    </row>
    <row r="1581" spans="1:9" x14ac:dyDescent="0.2">
      <c r="A1581" s="2">
        <v>8</v>
      </c>
      <c r="B1581" s="1" t="s">
        <v>98</v>
      </c>
      <c r="C1581" s="4">
        <v>7</v>
      </c>
      <c r="D1581" s="8">
        <v>4.24</v>
      </c>
      <c r="E1581" s="4">
        <v>3</v>
      </c>
      <c r="F1581" s="8">
        <v>2.94</v>
      </c>
      <c r="G1581" s="4">
        <v>4</v>
      </c>
      <c r="H1581" s="8">
        <v>6.45</v>
      </c>
      <c r="I1581" s="4">
        <v>0</v>
      </c>
    </row>
    <row r="1582" spans="1:9" x14ac:dyDescent="0.2">
      <c r="A1582" s="2">
        <v>8</v>
      </c>
      <c r="B1582" s="1" t="s">
        <v>100</v>
      </c>
      <c r="C1582" s="4">
        <v>7</v>
      </c>
      <c r="D1582" s="8">
        <v>4.24</v>
      </c>
      <c r="E1582" s="4">
        <v>2</v>
      </c>
      <c r="F1582" s="8">
        <v>1.96</v>
      </c>
      <c r="G1582" s="4">
        <v>5</v>
      </c>
      <c r="H1582" s="8">
        <v>8.06</v>
      </c>
      <c r="I1582" s="4">
        <v>0</v>
      </c>
    </row>
    <row r="1583" spans="1:9" x14ac:dyDescent="0.2">
      <c r="A1583" s="2">
        <v>8</v>
      </c>
      <c r="B1583" s="1" t="s">
        <v>116</v>
      </c>
      <c r="C1583" s="4">
        <v>7</v>
      </c>
      <c r="D1583" s="8">
        <v>4.24</v>
      </c>
      <c r="E1583" s="4">
        <v>6</v>
      </c>
      <c r="F1583" s="8">
        <v>5.88</v>
      </c>
      <c r="G1583" s="4">
        <v>1</v>
      </c>
      <c r="H1583" s="8">
        <v>1.61</v>
      </c>
      <c r="I1583" s="4">
        <v>0</v>
      </c>
    </row>
    <row r="1584" spans="1:9" x14ac:dyDescent="0.2">
      <c r="A1584" s="2">
        <v>11</v>
      </c>
      <c r="B1584" s="1" t="s">
        <v>99</v>
      </c>
      <c r="C1584" s="4">
        <v>5</v>
      </c>
      <c r="D1584" s="8">
        <v>3.03</v>
      </c>
      <c r="E1584" s="4">
        <v>4</v>
      </c>
      <c r="F1584" s="8">
        <v>3.92</v>
      </c>
      <c r="G1584" s="4">
        <v>1</v>
      </c>
      <c r="H1584" s="8">
        <v>1.61</v>
      </c>
      <c r="I1584" s="4">
        <v>0</v>
      </c>
    </row>
    <row r="1585" spans="1:9" x14ac:dyDescent="0.2">
      <c r="A1585" s="2">
        <v>12</v>
      </c>
      <c r="B1585" s="1" t="s">
        <v>107</v>
      </c>
      <c r="C1585" s="4">
        <v>4</v>
      </c>
      <c r="D1585" s="8">
        <v>2.42</v>
      </c>
      <c r="E1585" s="4">
        <v>3</v>
      </c>
      <c r="F1585" s="8">
        <v>2.94</v>
      </c>
      <c r="G1585" s="4">
        <v>1</v>
      </c>
      <c r="H1585" s="8">
        <v>1.61</v>
      </c>
      <c r="I1585" s="4">
        <v>0</v>
      </c>
    </row>
    <row r="1586" spans="1:9" x14ac:dyDescent="0.2">
      <c r="A1586" s="2">
        <v>13</v>
      </c>
      <c r="B1586" s="1" t="s">
        <v>126</v>
      </c>
      <c r="C1586" s="4">
        <v>3</v>
      </c>
      <c r="D1586" s="8">
        <v>1.82</v>
      </c>
      <c r="E1586" s="4">
        <v>1</v>
      </c>
      <c r="F1586" s="8">
        <v>0.98</v>
      </c>
      <c r="G1586" s="4">
        <v>2</v>
      </c>
      <c r="H1586" s="8">
        <v>3.23</v>
      </c>
      <c r="I1586" s="4">
        <v>0</v>
      </c>
    </row>
    <row r="1587" spans="1:9" x14ac:dyDescent="0.2">
      <c r="A1587" s="2">
        <v>13</v>
      </c>
      <c r="B1587" s="1" t="s">
        <v>104</v>
      </c>
      <c r="C1587" s="4">
        <v>3</v>
      </c>
      <c r="D1587" s="8">
        <v>1.82</v>
      </c>
      <c r="E1587" s="4">
        <v>0</v>
      </c>
      <c r="F1587" s="8">
        <v>0</v>
      </c>
      <c r="G1587" s="4">
        <v>3</v>
      </c>
      <c r="H1587" s="8">
        <v>4.84</v>
      </c>
      <c r="I1587" s="4">
        <v>0</v>
      </c>
    </row>
    <row r="1588" spans="1:9" x14ac:dyDescent="0.2">
      <c r="A1588" s="2">
        <v>15</v>
      </c>
      <c r="B1588" s="1" t="s">
        <v>120</v>
      </c>
      <c r="C1588" s="4">
        <v>2</v>
      </c>
      <c r="D1588" s="8">
        <v>1.21</v>
      </c>
      <c r="E1588" s="4">
        <v>1</v>
      </c>
      <c r="F1588" s="8">
        <v>0.98</v>
      </c>
      <c r="G1588" s="4">
        <v>1</v>
      </c>
      <c r="H1588" s="8">
        <v>1.61</v>
      </c>
      <c r="I1588" s="4">
        <v>0</v>
      </c>
    </row>
    <row r="1589" spans="1:9" x14ac:dyDescent="0.2">
      <c r="A1589" s="2">
        <v>15</v>
      </c>
      <c r="B1589" s="1" t="s">
        <v>101</v>
      </c>
      <c r="C1589" s="4">
        <v>2</v>
      </c>
      <c r="D1589" s="8">
        <v>1.21</v>
      </c>
      <c r="E1589" s="4">
        <v>1</v>
      </c>
      <c r="F1589" s="8">
        <v>0.98</v>
      </c>
      <c r="G1589" s="4">
        <v>1</v>
      </c>
      <c r="H1589" s="8">
        <v>1.61</v>
      </c>
      <c r="I1589" s="4">
        <v>0</v>
      </c>
    </row>
    <row r="1590" spans="1:9" x14ac:dyDescent="0.2">
      <c r="A1590" s="2">
        <v>15</v>
      </c>
      <c r="B1590" s="1" t="s">
        <v>123</v>
      </c>
      <c r="C1590" s="4">
        <v>2</v>
      </c>
      <c r="D1590" s="8">
        <v>1.21</v>
      </c>
      <c r="E1590" s="4">
        <v>0</v>
      </c>
      <c r="F1590" s="8">
        <v>0</v>
      </c>
      <c r="G1590" s="4">
        <v>2</v>
      </c>
      <c r="H1590" s="8">
        <v>3.23</v>
      </c>
      <c r="I1590" s="4">
        <v>0</v>
      </c>
    </row>
    <row r="1591" spans="1:9" x14ac:dyDescent="0.2">
      <c r="A1591" s="2">
        <v>15</v>
      </c>
      <c r="B1591" s="1" t="s">
        <v>105</v>
      </c>
      <c r="C1591" s="4">
        <v>2</v>
      </c>
      <c r="D1591" s="8">
        <v>1.21</v>
      </c>
      <c r="E1591" s="4">
        <v>1</v>
      </c>
      <c r="F1591" s="8">
        <v>0.98</v>
      </c>
      <c r="G1591" s="4">
        <v>1</v>
      </c>
      <c r="H1591" s="8">
        <v>1.61</v>
      </c>
      <c r="I1591" s="4">
        <v>0</v>
      </c>
    </row>
    <row r="1592" spans="1:9" x14ac:dyDescent="0.2">
      <c r="A1592" s="2">
        <v>15</v>
      </c>
      <c r="B1592" s="1" t="s">
        <v>112</v>
      </c>
      <c r="C1592" s="4">
        <v>2</v>
      </c>
      <c r="D1592" s="8">
        <v>1.21</v>
      </c>
      <c r="E1592" s="4">
        <v>1</v>
      </c>
      <c r="F1592" s="8">
        <v>0.98</v>
      </c>
      <c r="G1592" s="4">
        <v>1</v>
      </c>
      <c r="H1592" s="8">
        <v>1.61</v>
      </c>
      <c r="I1592" s="4">
        <v>0</v>
      </c>
    </row>
    <row r="1593" spans="1:9" x14ac:dyDescent="0.2">
      <c r="A1593" s="2">
        <v>15</v>
      </c>
      <c r="B1593" s="1" t="s">
        <v>130</v>
      </c>
      <c r="C1593" s="4">
        <v>2</v>
      </c>
      <c r="D1593" s="8">
        <v>1.21</v>
      </c>
      <c r="E1593" s="4">
        <v>1</v>
      </c>
      <c r="F1593" s="8">
        <v>0.98</v>
      </c>
      <c r="G1593" s="4">
        <v>1</v>
      </c>
      <c r="H1593" s="8">
        <v>1.61</v>
      </c>
      <c r="I1593" s="4">
        <v>0</v>
      </c>
    </row>
    <row r="1594" spans="1:9" x14ac:dyDescent="0.2">
      <c r="A1594" s="2">
        <v>15</v>
      </c>
      <c r="B1594" s="1" t="s">
        <v>143</v>
      </c>
      <c r="C1594" s="4">
        <v>2</v>
      </c>
      <c r="D1594" s="8">
        <v>1.21</v>
      </c>
      <c r="E1594" s="4">
        <v>2</v>
      </c>
      <c r="F1594" s="8">
        <v>1.96</v>
      </c>
      <c r="G1594" s="4">
        <v>0</v>
      </c>
      <c r="H1594" s="8">
        <v>0</v>
      </c>
      <c r="I1594" s="4">
        <v>0</v>
      </c>
    </row>
    <row r="1595" spans="1:9" x14ac:dyDescent="0.2">
      <c r="A1595" s="1"/>
      <c r="C1595" s="4"/>
      <c r="D1595" s="8"/>
      <c r="E1595" s="4"/>
      <c r="F1595" s="8"/>
      <c r="G1595" s="4"/>
      <c r="H1595" s="8"/>
      <c r="I1595" s="4"/>
    </row>
    <row r="1596" spans="1:9" x14ac:dyDescent="0.2">
      <c r="A1596" s="1" t="s">
        <v>71</v>
      </c>
      <c r="C1596" s="4"/>
      <c r="D1596" s="8"/>
      <c r="E1596" s="4"/>
      <c r="F1596" s="8"/>
      <c r="G1596" s="4"/>
      <c r="H1596" s="8"/>
      <c r="I1596" s="4"/>
    </row>
    <row r="1597" spans="1:9" x14ac:dyDescent="0.2">
      <c r="A1597" s="2">
        <v>1</v>
      </c>
      <c r="B1597" s="1" t="s">
        <v>98</v>
      </c>
      <c r="C1597" s="4">
        <v>23</v>
      </c>
      <c r="D1597" s="8">
        <v>9.6999999999999993</v>
      </c>
      <c r="E1597" s="4">
        <v>8</v>
      </c>
      <c r="F1597" s="8">
        <v>5.71</v>
      </c>
      <c r="G1597" s="4">
        <v>15</v>
      </c>
      <c r="H1597" s="8">
        <v>16.13</v>
      </c>
      <c r="I1597" s="4">
        <v>0</v>
      </c>
    </row>
    <row r="1598" spans="1:9" x14ac:dyDescent="0.2">
      <c r="A1598" s="2">
        <v>1</v>
      </c>
      <c r="B1598" s="1" t="s">
        <v>108</v>
      </c>
      <c r="C1598" s="4">
        <v>23</v>
      </c>
      <c r="D1598" s="8">
        <v>9.6999999999999993</v>
      </c>
      <c r="E1598" s="4">
        <v>15</v>
      </c>
      <c r="F1598" s="8">
        <v>10.71</v>
      </c>
      <c r="G1598" s="4">
        <v>8</v>
      </c>
      <c r="H1598" s="8">
        <v>8.6</v>
      </c>
      <c r="I1598" s="4">
        <v>0</v>
      </c>
    </row>
    <row r="1599" spans="1:9" x14ac:dyDescent="0.2">
      <c r="A1599" s="2">
        <v>1</v>
      </c>
      <c r="B1599" s="1" t="s">
        <v>113</v>
      </c>
      <c r="C1599" s="4">
        <v>23</v>
      </c>
      <c r="D1599" s="8">
        <v>9.6999999999999993</v>
      </c>
      <c r="E1599" s="4">
        <v>23</v>
      </c>
      <c r="F1599" s="8">
        <v>16.43</v>
      </c>
      <c r="G1599" s="4">
        <v>0</v>
      </c>
      <c r="H1599" s="8">
        <v>0</v>
      </c>
      <c r="I1599" s="4">
        <v>0</v>
      </c>
    </row>
    <row r="1600" spans="1:9" x14ac:dyDescent="0.2">
      <c r="A1600" s="2">
        <v>4</v>
      </c>
      <c r="B1600" s="1" t="s">
        <v>106</v>
      </c>
      <c r="C1600" s="4">
        <v>22</v>
      </c>
      <c r="D1600" s="8">
        <v>9.2799999999999994</v>
      </c>
      <c r="E1600" s="4">
        <v>17</v>
      </c>
      <c r="F1600" s="8">
        <v>12.14</v>
      </c>
      <c r="G1600" s="4">
        <v>5</v>
      </c>
      <c r="H1600" s="8">
        <v>5.38</v>
      </c>
      <c r="I1600" s="4">
        <v>0</v>
      </c>
    </row>
    <row r="1601" spans="1:9" x14ac:dyDescent="0.2">
      <c r="A1601" s="2">
        <v>5</v>
      </c>
      <c r="B1601" s="1" t="s">
        <v>110</v>
      </c>
      <c r="C1601" s="4">
        <v>16</v>
      </c>
      <c r="D1601" s="8">
        <v>6.75</v>
      </c>
      <c r="E1601" s="4">
        <v>11</v>
      </c>
      <c r="F1601" s="8">
        <v>7.86</v>
      </c>
      <c r="G1601" s="4">
        <v>5</v>
      </c>
      <c r="H1601" s="8">
        <v>5.38</v>
      </c>
      <c r="I1601" s="4">
        <v>0</v>
      </c>
    </row>
    <row r="1602" spans="1:9" x14ac:dyDescent="0.2">
      <c r="A1602" s="2">
        <v>6</v>
      </c>
      <c r="B1602" s="1" t="s">
        <v>114</v>
      </c>
      <c r="C1602" s="4">
        <v>15</v>
      </c>
      <c r="D1602" s="8">
        <v>6.33</v>
      </c>
      <c r="E1602" s="4">
        <v>14</v>
      </c>
      <c r="F1602" s="8">
        <v>10</v>
      </c>
      <c r="G1602" s="4">
        <v>1</v>
      </c>
      <c r="H1602" s="8">
        <v>1.08</v>
      </c>
      <c r="I1602" s="4">
        <v>0</v>
      </c>
    </row>
    <row r="1603" spans="1:9" x14ac:dyDescent="0.2">
      <c r="A1603" s="2">
        <v>7</v>
      </c>
      <c r="B1603" s="1" t="s">
        <v>100</v>
      </c>
      <c r="C1603" s="4">
        <v>10</v>
      </c>
      <c r="D1603" s="8">
        <v>4.22</v>
      </c>
      <c r="E1603" s="4">
        <v>0</v>
      </c>
      <c r="F1603" s="8">
        <v>0</v>
      </c>
      <c r="G1603" s="4">
        <v>10</v>
      </c>
      <c r="H1603" s="8">
        <v>10.75</v>
      </c>
      <c r="I1603" s="4">
        <v>0</v>
      </c>
    </row>
    <row r="1604" spans="1:9" x14ac:dyDescent="0.2">
      <c r="A1604" s="2">
        <v>8</v>
      </c>
      <c r="B1604" s="1" t="s">
        <v>116</v>
      </c>
      <c r="C1604" s="4">
        <v>9</v>
      </c>
      <c r="D1604" s="8">
        <v>3.8</v>
      </c>
      <c r="E1604" s="4">
        <v>7</v>
      </c>
      <c r="F1604" s="8">
        <v>5</v>
      </c>
      <c r="G1604" s="4">
        <v>2</v>
      </c>
      <c r="H1604" s="8">
        <v>2.15</v>
      </c>
      <c r="I1604" s="4">
        <v>0</v>
      </c>
    </row>
    <row r="1605" spans="1:9" x14ac:dyDescent="0.2">
      <c r="A1605" s="2">
        <v>9</v>
      </c>
      <c r="B1605" s="1" t="s">
        <v>107</v>
      </c>
      <c r="C1605" s="4">
        <v>8</v>
      </c>
      <c r="D1605" s="8">
        <v>3.38</v>
      </c>
      <c r="E1605" s="4">
        <v>6</v>
      </c>
      <c r="F1605" s="8">
        <v>4.29</v>
      </c>
      <c r="G1605" s="4">
        <v>2</v>
      </c>
      <c r="H1605" s="8">
        <v>2.15</v>
      </c>
      <c r="I1605" s="4">
        <v>0</v>
      </c>
    </row>
    <row r="1606" spans="1:9" x14ac:dyDescent="0.2">
      <c r="A1606" s="2">
        <v>10</v>
      </c>
      <c r="B1606" s="1" t="s">
        <v>112</v>
      </c>
      <c r="C1606" s="4">
        <v>7</v>
      </c>
      <c r="D1606" s="8">
        <v>2.95</v>
      </c>
      <c r="E1606" s="4">
        <v>2</v>
      </c>
      <c r="F1606" s="8">
        <v>1.43</v>
      </c>
      <c r="G1606" s="4">
        <v>5</v>
      </c>
      <c r="H1606" s="8">
        <v>5.38</v>
      </c>
      <c r="I1606" s="4">
        <v>0</v>
      </c>
    </row>
    <row r="1607" spans="1:9" x14ac:dyDescent="0.2">
      <c r="A1607" s="2">
        <v>10</v>
      </c>
      <c r="B1607" s="1" t="s">
        <v>145</v>
      </c>
      <c r="C1607" s="4">
        <v>7</v>
      </c>
      <c r="D1607" s="8">
        <v>2.95</v>
      </c>
      <c r="E1607" s="4">
        <v>3</v>
      </c>
      <c r="F1607" s="8">
        <v>2.14</v>
      </c>
      <c r="G1607" s="4">
        <v>2</v>
      </c>
      <c r="H1607" s="8">
        <v>2.15</v>
      </c>
      <c r="I1607" s="4">
        <v>0</v>
      </c>
    </row>
    <row r="1608" spans="1:9" x14ac:dyDescent="0.2">
      <c r="A1608" s="2">
        <v>10</v>
      </c>
      <c r="B1608" s="1" t="s">
        <v>115</v>
      </c>
      <c r="C1608" s="4">
        <v>7</v>
      </c>
      <c r="D1608" s="8">
        <v>2.95</v>
      </c>
      <c r="E1608" s="4">
        <v>6</v>
      </c>
      <c r="F1608" s="8">
        <v>4.29</v>
      </c>
      <c r="G1608" s="4">
        <v>0</v>
      </c>
      <c r="H1608" s="8">
        <v>0</v>
      </c>
      <c r="I1608" s="4">
        <v>0</v>
      </c>
    </row>
    <row r="1609" spans="1:9" x14ac:dyDescent="0.2">
      <c r="A1609" s="2">
        <v>13</v>
      </c>
      <c r="B1609" s="1" t="s">
        <v>103</v>
      </c>
      <c r="C1609" s="4">
        <v>5</v>
      </c>
      <c r="D1609" s="8">
        <v>2.11</v>
      </c>
      <c r="E1609" s="4">
        <v>1</v>
      </c>
      <c r="F1609" s="8">
        <v>0.71</v>
      </c>
      <c r="G1609" s="4">
        <v>4</v>
      </c>
      <c r="H1609" s="8">
        <v>4.3</v>
      </c>
      <c r="I1609" s="4">
        <v>0</v>
      </c>
    </row>
    <row r="1610" spans="1:9" x14ac:dyDescent="0.2">
      <c r="A1610" s="2">
        <v>13</v>
      </c>
      <c r="B1610" s="1" t="s">
        <v>137</v>
      </c>
      <c r="C1610" s="4">
        <v>5</v>
      </c>
      <c r="D1610" s="8">
        <v>2.11</v>
      </c>
      <c r="E1610" s="4">
        <v>4</v>
      </c>
      <c r="F1610" s="8">
        <v>2.86</v>
      </c>
      <c r="G1610" s="4">
        <v>1</v>
      </c>
      <c r="H1610" s="8">
        <v>1.08</v>
      </c>
      <c r="I1610" s="4">
        <v>0</v>
      </c>
    </row>
    <row r="1611" spans="1:9" x14ac:dyDescent="0.2">
      <c r="A1611" s="2">
        <v>13</v>
      </c>
      <c r="B1611" s="1" t="s">
        <v>129</v>
      </c>
      <c r="C1611" s="4">
        <v>5</v>
      </c>
      <c r="D1611" s="8">
        <v>2.11</v>
      </c>
      <c r="E1611" s="4">
        <v>4</v>
      </c>
      <c r="F1611" s="8">
        <v>2.86</v>
      </c>
      <c r="G1611" s="4">
        <v>1</v>
      </c>
      <c r="H1611" s="8">
        <v>1.08</v>
      </c>
      <c r="I1611" s="4">
        <v>0</v>
      </c>
    </row>
    <row r="1612" spans="1:9" x14ac:dyDescent="0.2">
      <c r="A1612" s="2">
        <v>16</v>
      </c>
      <c r="B1612" s="1" t="s">
        <v>99</v>
      </c>
      <c r="C1612" s="4">
        <v>4</v>
      </c>
      <c r="D1612" s="8">
        <v>1.69</v>
      </c>
      <c r="E1612" s="4">
        <v>1</v>
      </c>
      <c r="F1612" s="8">
        <v>0.71</v>
      </c>
      <c r="G1612" s="4">
        <v>3</v>
      </c>
      <c r="H1612" s="8">
        <v>3.23</v>
      </c>
      <c r="I1612" s="4">
        <v>0</v>
      </c>
    </row>
    <row r="1613" spans="1:9" x14ac:dyDescent="0.2">
      <c r="A1613" s="2">
        <v>16</v>
      </c>
      <c r="B1613" s="1" t="s">
        <v>120</v>
      </c>
      <c r="C1613" s="4">
        <v>4</v>
      </c>
      <c r="D1613" s="8">
        <v>1.69</v>
      </c>
      <c r="E1613" s="4">
        <v>3</v>
      </c>
      <c r="F1613" s="8">
        <v>2.14</v>
      </c>
      <c r="G1613" s="4">
        <v>1</v>
      </c>
      <c r="H1613" s="8">
        <v>1.08</v>
      </c>
      <c r="I1613" s="4">
        <v>0</v>
      </c>
    </row>
    <row r="1614" spans="1:9" x14ac:dyDescent="0.2">
      <c r="A1614" s="2">
        <v>16</v>
      </c>
      <c r="B1614" s="1" t="s">
        <v>130</v>
      </c>
      <c r="C1614" s="4">
        <v>4</v>
      </c>
      <c r="D1614" s="8">
        <v>1.69</v>
      </c>
      <c r="E1614" s="4">
        <v>3</v>
      </c>
      <c r="F1614" s="8">
        <v>2.14</v>
      </c>
      <c r="G1614" s="4">
        <v>1</v>
      </c>
      <c r="H1614" s="8">
        <v>1.08</v>
      </c>
      <c r="I1614" s="4">
        <v>0</v>
      </c>
    </row>
    <row r="1615" spans="1:9" x14ac:dyDescent="0.2">
      <c r="A1615" s="2">
        <v>19</v>
      </c>
      <c r="B1615" s="1" t="s">
        <v>101</v>
      </c>
      <c r="C1615" s="4">
        <v>3</v>
      </c>
      <c r="D1615" s="8">
        <v>1.27</v>
      </c>
      <c r="E1615" s="4">
        <v>1</v>
      </c>
      <c r="F1615" s="8">
        <v>0.71</v>
      </c>
      <c r="G1615" s="4">
        <v>2</v>
      </c>
      <c r="H1615" s="8">
        <v>2.15</v>
      </c>
      <c r="I1615" s="4">
        <v>0</v>
      </c>
    </row>
    <row r="1616" spans="1:9" x14ac:dyDescent="0.2">
      <c r="A1616" s="2">
        <v>19</v>
      </c>
      <c r="B1616" s="1" t="s">
        <v>122</v>
      </c>
      <c r="C1616" s="4">
        <v>3</v>
      </c>
      <c r="D1616" s="8">
        <v>1.27</v>
      </c>
      <c r="E1616" s="4">
        <v>0</v>
      </c>
      <c r="F1616" s="8">
        <v>0</v>
      </c>
      <c r="G1616" s="4">
        <v>3</v>
      </c>
      <c r="H1616" s="8">
        <v>3.23</v>
      </c>
      <c r="I1616" s="4">
        <v>0</v>
      </c>
    </row>
    <row r="1617" spans="1:9" x14ac:dyDescent="0.2">
      <c r="A1617" s="2">
        <v>19</v>
      </c>
      <c r="B1617" s="1" t="s">
        <v>102</v>
      </c>
      <c r="C1617" s="4">
        <v>3</v>
      </c>
      <c r="D1617" s="8">
        <v>1.27</v>
      </c>
      <c r="E1617" s="4">
        <v>1</v>
      </c>
      <c r="F1617" s="8">
        <v>0.71</v>
      </c>
      <c r="G1617" s="4">
        <v>2</v>
      </c>
      <c r="H1617" s="8">
        <v>2.15</v>
      </c>
      <c r="I1617" s="4">
        <v>0</v>
      </c>
    </row>
    <row r="1618" spans="1:9" x14ac:dyDescent="0.2">
      <c r="A1618" s="2">
        <v>19</v>
      </c>
      <c r="B1618" s="1" t="s">
        <v>105</v>
      </c>
      <c r="C1618" s="4">
        <v>3</v>
      </c>
      <c r="D1618" s="8">
        <v>1.27</v>
      </c>
      <c r="E1618" s="4">
        <v>2</v>
      </c>
      <c r="F1618" s="8">
        <v>1.43</v>
      </c>
      <c r="G1618" s="4">
        <v>1</v>
      </c>
      <c r="H1618" s="8">
        <v>1.08</v>
      </c>
      <c r="I1618" s="4">
        <v>0</v>
      </c>
    </row>
    <row r="1619" spans="1:9" x14ac:dyDescent="0.2">
      <c r="A1619" s="1"/>
      <c r="C1619" s="4"/>
      <c r="D1619" s="8"/>
      <c r="E1619" s="4"/>
      <c r="F1619" s="8"/>
      <c r="G1619" s="4"/>
      <c r="H1619" s="8"/>
      <c r="I1619" s="4"/>
    </row>
    <row r="1620" spans="1:9" x14ac:dyDescent="0.2">
      <c r="A1620" s="1" t="s">
        <v>72</v>
      </c>
      <c r="C1620" s="4"/>
      <c r="D1620" s="8"/>
      <c r="E1620" s="4"/>
      <c r="F1620" s="8"/>
      <c r="G1620" s="4"/>
      <c r="H1620" s="8"/>
      <c r="I1620" s="4"/>
    </row>
    <row r="1621" spans="1:9" x14ac:dyDescent="0.2">
      <c r="A1621" s="2">
        <v>1</v>
      </c>
      <c r="B1621" s="1" t="s">
        <v>110</v>
      </c>
      <c r="C1621" s="4">
        <v>32</v>
      </c>
      <c r="D1621" s="8">
        <v>13.56</v>
      </c>
      <c r="E1621" s="4">
        <v>26</v>
      </c>
      <c r="F1621" s="8">
        <v>19.260000000000002</v>
      </c>
      <c r="G1621" s="4">
        <v>6</v>
      </c>
      <c r="H1621" s="8">
        <v>6.12</v>
      </c>
      <c r="I1621" s="4">
        <v>0</v>
      </c>
    </row>
    <row r="1622" spans="1:9" x14ac:dyDescent="0.2">
      <c r="A1622" s="2">
        <v>2</v>
      </c>
      <c r="B1622" s="1" t="s">
        <v>98</v>
      </c>
      <c r="C1622" s="4">
        <v>26</v>
      </c>
      <c r="D1622" s="8">
        <v>11.02</v>
      </c>
      <c r="E1622" s="4">
        <v>8</v>
      </c>
      <c r="F1622" s="8">
        <v>5.93</v>
      </c>
      <c r="G1622" s="4">
        <v>18</v>
      </c>
      <c r="H1622" s="8">
        <v>18.37</v>
      </c>
      <c r="I1622" s="4">
        <v>0</v>
      </c>
    </row>
    <row r="1623" spans="1:9" x14ac:dyDescent="0.2">
      <c r="A1623" s="2">
        <v>3</v>
      </c>
      <c r="B1623" s="1" t="s">
        <v>99</v>
      </c>
      <c r="C1623" s="4">
        <v>14</v>
      </c>
      <c r="D1623" s="8">
        <v>5.93</v>
      </c>
      <c r="E1623" s="4">
        <v>4</v>
      </c>
      <c r="F1623" s="8">
        <v>2.96</v>
      </c>
      <c r="G1623" s="4">
        <v>10</v>
      </c>
      <c r="H1623" s="8">
        <v>10.199999999999999</v>
      </c>
      <c r="I1623" s="4">
        <v>0</v>
      </c>
    </row>
    <row r="1624" spans="1:9" x14ac:dyDescent="0.2">
      <c r="A1624" s="2">
        <v>3</v>
      </c>
      <c r="B1624" s="1" t="s">
        <v>114</v>
      </c>
      <c r="C1624" s="4">
        <v>14</v>
      </c>
      <c r="D1624" s="8">
        <v>5.93</v>
      </c>
      <c r="E1624" s="4">
        <v>13</v>
      </c>
      <c r="F1624" s="8">
        <v>9.6300000000000008</v>
      </c>
      <c r="G1624" s="4">
        <v>1</v>
      </c>
      <c r="H1624" s="8">
        <v>1.02</v>
      </c>
      <c r="I1624" s="4">
        <v>0</v>
      </c>
    </row>
    <row r="1625" spans="1:9" x14ac:dyDescent="0.2">
      <c r="A1625" s="2">
        <v>5</v>
      </c>
      <c r="B1625" s="1" t="s">
        <v>113</v>
      </c>
      <c r="C1625" s="4">
        <v>12</v>
      </c>
      <c r="D1625" s="8">
        <v>5.08</v>
      </c>
      <c r="E1625" s="4">
        <v>12</v>
      </c>
      <c r="F1625" s="8">
        <v>8.89</v>
      </c>
      <c r="G1625" s="4">
        <v>0</v>
      </c>
      <c r="H1625" s="8">
        <v>0</v>
      </c>
      <c r="I1625" s="4">
        <v>0</v>
      </c>
    </row>
    <row r="1626" spans="1:9" x14ac:dyDescent="0.2">
      <c r="A1626" s="2">
        <v>6</v>
      </c>
      <c r="B1626" s="1" t="s">
        <v>115</v>
      </c>
      <c r="C1626" s="4">
        <v>11</v>
      </c>
      <c r="D1626" s="8">
        <v>4.66</v>
      </c>
      <c r="E1626" s="4">
        <v>9</v>
      </c>
      <c r="F1626" s="8">
        <v>6.67</v>
      </c>
      <c r="G1626" s="4">
        <v>1</v>
      </c>
      <c r="H1626" s="8">
        <v>1.02</v>
      </c>
      <c r="I1626" s="4">
        <v>0</v>
      </c>
    </row>
    <row r="1627" spans="1:9" x14ac:dyDescent="0.2">
      <c r="A1627" s="2">
        <v>7</v>
      </c>
      <c r="B1627" s="1" t="s">
        <v>101</v>
      </c>
      <c r="C1627" s="4">
        <v>10</v>
      </c>
      <c r="D1627" s="8">
        <v>4.24</v>
      </c>
      <c r="E1627" s="4">
        <v>5</v>
      </c>
      <c r="F1627" s="8">
        <v>3.7</v>
      </c>
      <c r="G1627" s="4">
        <v>5</v>
      </c>
      <c r="H1627" s="8">
        <v>5.0999999999999996</v>
      </c>
      <c r="I1627" s="4">
        <v>0</v>
      </c>
    </row>
    <row r="1628" spans="1:9" x14ac:dyDescent="0.2">
      <c r="A1628" s="2">
        <v>7</v>
      </c>
      <c r="B1628" s="1" t="s">
        <v>116</v>
      </c>
      <c r="C1628" s="4">
        <v>10</v>
      </c>
      <c r="D1628" s="8">
        <v>4.24</v>
      </c>
      <c r="E1628" s="4">
        <v>9</v>
      </c>
      <c r="F1628" s="8">
        <v>6.67</v>
      </c>
      <c r="G1628" s="4">
        <v>1</v>
      </c>
      <c r="H1628" s="8">
        <v>1.02</v>
      </c>
      <c r="I1628" s="4">
        <v>0</v>
      </c>
    </row>
    <row r="1629" spans="1:9" x14ac:dyDescent="0.2">
      <c r="A1629" s="2">
        <v>9</v>
      </c>
      <c r="B1629" s="1" t="s">
        <v>100</v>
      </c>
      <c r="C1629" s="4">
        <v>9</v>
      </c>
      <c r="D1629" s="8">
        <v>3.81</v>
      </c>
      <c r="E1629" s="4">
        <v>2</v>
      </c>
      <c r="F1629" s="8">
        <v>1.48</v>
      </c>
      <c r="G1629" s="4">
        <v>7</v>
      </c>
      <c r="H1629" s="8">
        <v>7.14</v>
      </c>
      <c r="I1629" s="4">
        <v>0</v>
      </c>
    </row>
    <row r="1630" spans="1:9" x14ac:dyDescent="0.2">
      <c r="A1630" s="2">
        <v>9</v>
      </c>
      <c r="B1630" s="1" t="s">
        <v>108</v>
      </c>
      <c r="C1630" s="4">
        <v>9</v>
      </c>
      <c r="D1630" s="8">
        <v>3.81</v>
      </c>
      <c r="E1630" s="4">
        <v>7</v>
      </c>
      <c r="F1630" s="8">
        <v>5.19</v>
      </c>
      <c r="G1630" s="4">
        <v>2</v>
      </c>
      <c r="H1630" s="8">
        <v>2.04</v>
      </c>
      <c r="I1630" s="4">
        <v>0</v>
      </c>
    </row>
    <row r="1631" spans="1:9" x14ac:dyDescent="0.2">
      <c r="A1631" s="2">
        <v>11</v>
      </c>
      <c r="B1631" s="1" t="s">
        <v>106</v>
      </c>
      <c r="C1631" s="4">
        <v>8</v>
      </c>
      <c r="D1631" s="8">
        <v>3.39</v>
      </c>
      <c r="E1631" s="4">
        <v>6</v>
      </c>
      <c r="F1631" s="8">
        <v>4.4400000000000004</v>
      </c>
      <c r="G1631" s="4">
        <v>1</v>
      </c>
      <c r="H1631" s="8">
        <v>1.02</v>
      </c>
      <c r="I1631" s="4">
        <v>1</v>
      </c>
    </row>
    <row r="1632" spans="1:9" x14ac:dyDescent="0.2">
      <c r="A1632" s="2">
        <v>12</v>
      </c>
      <c r="B1632" s="1" t="s">
        <v>104</v>
      </c>
      <c r="C1632" s="4">
        <v>6</v>
      </c>
      <c r="D1632" s="8">
        <v>2.54</v>
      </c>
      <c r="E1632" s="4">
        <v>0</v>
      </c>
      <c r="F1632" s="8">
        <v>0</v>
      </c>
      <c r="G1632" s="4">
        <v>6</v>
      </c>
      <c r="H1632" s="8">
        <v>6.12</v>
      </c>
      <c r="I1632" s="4">
        <v>0</v>
      </c>
    </row>
    <row r="1633" spans="1:9" x14ac:dyDescent="0.2">
      <c r="A1633" s="2">
        <v>12</v>
      </c>
      <c r="B1633" s="1" t="s">
        <v>129</v>
      </c>
      <c r="C1633" s="4">
        <v>6</v>
      </c>
      <c r="D1633" s="8">
        <v>2.54</v>
      </c>
      <c r="E1633" s="4">
        <v>4</v>
      </c>
      <c r="F1633" s="8">
        <v>2.96</v>
      </c>
      <c r="G1633" s="4">
        <v>2</v>
      </c>
      <c r="H1633" s="8">
        <v>2.04</v>
      </c>
      <c r="I1633" s="4">
        <v>0</v>
      </c>
    </row>
    <row r="1634" spans="1:9" x14ac:dyDescent="0.2">
      <c r="A1634" s="2">
        <v>14</v>
      </c>
      <c r="B1634" s="1" t="s">
        <v>120</v>
      </c>
      <c r="C1634" s="4">
        <v>5</v>
      </c>
      <c r="D1634" s="8">
        <v>2.12</v>
      </c>
      <c r="E1634" s="4">
        <v>4</v>
      </c>
      <c r="F1634" s="8">
        <v>2.96</v>
      </c>
      <c r="G1634" s="4">
        <v>1</v>
      </c>
      <c r="H1634" s="8">
        <v>1.02</v>
      </c>
      <c r="I1634" s="4">
        <v>0</v>
      </c>
    </row>
    <row r="1635" spans="1:9" x14ac:dyDescent="0.2">
      <c r="A1635" s="2">
        <v>14</v>
      </c>
      <c r="B1635" s="1" t="s">
        <v>102</v>
      </c>
      <c r="C1635" s="4">
        <v>5</v>
      </c>
      <c r="D1635" s="8">
        <v>2.12</v>
      </c>
      <c r="E1635" s="4">
        <v>2</v>
      </c>
      <c r="F1635" s="8">
        <v>1.48</v>
      </c>
      <c r="G1635" s="4">
        <v>3</v>
      </c>
      <c r="H1635" s="8">
        <v>3.06</v>
      </c>
      <c r="I1635" s="4">
        <v>0</v>
      </c>
    </row>
    <row r="1636" spans="1:9" x14ac:dyDescent="0.2">
      <c r="A1636" s="2">
        <v>14</v>
      </c>
      <c r="B1636" s="1" t="s">
        <v>107</v>
      </c>
      <c r="C1636" s="4">
        <v>5</v>
      </c>
      <c r="D1636" s="8">
        <v>2.12</v>
      </c>
      <c r="E1636" s="4">
        <v>5</v>
      </c>
      <c r="F1636" s="8">
        <v>3.7</v>
      </c>
      <c r="G1636" s="4">
        <v>0</v>
      </c>
      <c r="H1636" s="8">
        <v>0</v>
      </c>
      <c r="I1636" s="4">
        <v>0</v>
      </c>
    </row>
    <row r="1637" spans="1:9" x14ac:dyDescent="0.2">
      <c r="A1637" s="2">
        <v>17</v>
      </c>
      <c r="B1637" s="1" t="s">
        <v>142</v>
      </c>
      <c r="C1637" s="4">
        <v>4</v>
      </c>
      <c r="D1637" s="8">
        <v>1.69</v>
      </c>
      <c r="E1637" s="4">
        <v>1</v>
      </c>
      <c r="F1637" s="8">
        <v>0.74</v>
      </c>
      <c r="G1637" s="4">
        <v>3</v>
      </c>
      <c r="H1637" s="8">
        <v>3.06</v>
      </c>
      <c r="I1637" s="4">
        <v>0</v>
      </c>
    </row>
    <row r="1638" spans="1:9" x14ac:dyDescent="0.2">
      <c r="A1638" s="2">
        <v>17</v>
      </c>
      <c r="B1638" s="1" t="s">
        <v>105</v>
      </c>
      <c r="C1638" s="4">
        <v>4</v>
      </c>
      <c r="D1638" s="8">
        <v>1.69</v>
      </c>
      <c r="E1638" s="4">
        <v>4</v>
      </c>
      <c r="F1638" s="8">
        <v>2.96</v>
      </c>
      <c r="G1638" s="4">
        <v>0</v>
      </c>
      <c r="H1638" s="8">
        <v>0</v>
      </c>
      <c r="I1638" s="4">
        <v>0</v>
      </c>
    </row>
    <row r="1639" spans="1:9" x14ac:dyDescent="0.2">
      <c r="A1639" s="2">
        <v>17</v>
      </c>
      <c r="B1639" s="1" t="s">
        <v>135</v>
      </c>
      <c r="C1639" s="4">
        <v>4</v>
      </c>
      <c r="D1639" s="8">
        <v>1.69</v>
      </c>
      <c r="E1639" s="4">
        <v>1</v>
      </c>
      <c r="F1639" s="8">
        <v>0.74</v>
      </c>
      <c r="G1639" s="4">
        <v>3</v>
      </c>
      <c r="H1639" s="8">
        <v>3.06</v>
      </c>
      <c r="I1639" s="4">
        <v>0</v>
      </c>
    </row>
    <row r="1640" spans="1:9" x14ac:dyDescent="0.2">
      <c r="A1640" s="2">
        <v>17</v>
      </c>
      <c r="B1640" s="1" t="s">
        <v>111</v>
      </c>
      <c r="C1640" s="4">
        <v>4</v>
      </c>
      <c r="D1640" s="8">
        <v>1.69</v>
      </c>
      <c r="E1640" s="4">
        <v>0</v>
      </c>
      <c r="F1640" s="8">
        <v>0</v>
      </c>
      <c r="G1640" s="4">
        <v>4</v>
      </c>
      <c r="H1640" s="8">
        <v>4.08</v>
      </c>
      <c r="I1640" s="4">
        <v>0</v>
      </c>
    </row>
    <row r="1641" spans="1:9" x14ac:dyDescent="0.2">
      <c r="A1641" s="2">
        <v>17</v>
      </c>
      <c r="B1641" s="1" t="s">
        <v>112</v>
      </c>
      <c r="C1641" s="4">
        <v>4</v>
      </c>
      <c r="D1641" s="8">
        <v>1.69</v>
      </c>
      <c r="E1641" s="4">
        <v>2</v>
      </c>
      <c r="F1641" s="8">
        <v>1.48</v>
      </c>
      <c r="G1641" s="4">
        <v>2</v>
      </c>
      <c r="H1641" s="8">
        <v>2.04</v>
      </c>
      <c r="I1641" s="4">
        <v>0</v>
      </c>
    </row>
    <row r="1642" spans="1:9" x14ac:dyDescent="0.2">
      <c r="A1642" s="1"/>
      <c r="C1642" s="4"/>
      <c r="D1642" s="8"/>
      <c r="E1642" s="4"/>
      <c r="F1642" s="8"/>
      <c r="G1642" s="4"/>
      <c r="H1642" s="8"/>
      <c r="I1642" s="4"/>
    </row>
    <row r="1643" spans="1:9" x14ac:dyDescent="0.2">
      <c r="A1643" s="1" t="s">
        <v>73</v>
      </c>
      <c r="C1643" s="4"/>
      <c r="D1643" s="8"/>
      <c r="E1643" s="4"/>
      <c r="F1643" s="8"/>
      <c r="G1643" s="4"/>
      <c r="H1643" s="8"/>
      <c r="I1643" s="4"/>
    </row>
    <row r="1644" spans="1:9" x14ac:dyDescent="0.2">
      <c r="A1644" s="2">
        <v>1</v>
      </c>
      <c r="B1644" s="1" t="s">
        <v>110</v>
      </c>
      <c r="C1644" s="4">
        <v>54</v>
      </c>
      <c r="D1644" s="8">
        <v>16.62</v>
      </c>
      <c r="E1644" s="4">
        <v>41</v>
      </c>
      <c r="F1644" s="8">
        <v>22.91</v>
      </c>
      <c r="G1644" s="4">
        <v>13</v>
      </c>
      <c r="H1644" s="8">
        <v>9.09</v>
      </c>
      <c r="I1644" s="4">
        <v>0</v>
      </c>
    </row>
    <row r="1645" spans="1:9" x14ac:dyDescent="0.2">
      <c r="A1645" s="2">
        <v>2</v>
      </c>
      <c r="B1645" s="1" t="s">
        <v>98</v>
      </c>
      <c r="C1645" s="4">
        <v>24</v>
      </c>
      <c r="D1645" s="8">
        <v>7.38</v>
      </c>
      <c r="E1645" s="4">
        <v>2</v>
      </c>
      <c r="F1645" s="8">
        <v>1.1200000000000001</v>
      </c>
      <c r="G1645" s="4">
        <v>22</v>
      </c>
      <c r="H1645" s="8">
        <v>15.38</v>
      </c>
      <c r="I1645" s="4">
        <v>0</v>
      </c>
    </row>
    <row r="1646" spans="1:9" x14ac:dyDescent="0.2">
      <c r="A1646" s="2">
        <v>3</v>
      </c>
      <c r="B1646" s="1" t="s">
        <v>99</v>
      </c>
      <c r="C1646" s="4">
        <v>23</v>
      </c>
      <c r="D1646" s="8">
        <v>7.08</v>
      </c>
      <c r="E1646" s="4">
        <v>14</v>
      </c>
      <c r="F1646" s="8">
        <v>7.82</v>
      </c>
      <c r="G1646" s="4">
        <v>9</v>
      </c>
      <c r="H1646" s="8">
        <v>6.29</v>
      </c>
      <c r="I1646" s="4">
        <v>0</v>
      </c>
    </row>
    <row r="1647" spans="1:9" x14ac:dyDescent="0.2">
      <c r="A1647" s="2">
        <v>4</v>
      </c>
      <c r="B1647" s="1" t="s">
        <v>100</v>
      </c>
      <c r="C1647" s="4">
        <v>18</v>
      </c>
      <c r="D1647" s="8">
        <v>5.54</v>
      </c>
      <c r="E1647" s="4">
        <v>5</v>
      </c>
      <c r="F1647" s="8">
        <v>2.79</v>
      </c>
      <c r="G1647" s="4">
        <v>13</v>
      </c>
      <c r="H1647" s="8">
        <v>9.09</v>
      </c>
      <c r="I1647" s="4">
        <v>0</v>
      </c>
    </row>
    <row r="1648" spans="1:9" x14ac:dyDescent="0.2">
      <c r="A1648" s="2">
        <v>5</v>
      </c>
      <c r="B1648" s="1" t="s">
        <v>113</v>
      </c>
      <c r="C1648" s="4">
        <v>16</v>
      </c>
      <c r="D1648" s="8">
        <v>4.92</v>
      </c>
      <c r="E1648" s="4">
        <v>13</v>
      </c>
      <c r="F1648" s="8">
        <v>7.26</v>
      </c>
      <c r="G1648" s="4">
        <v>3</v>
      </c>
      <c r="H1648" s="8">
        <v>2.1</v>
      </c>
      <c r="I1648" s="4">
        <v>0</v>
      </c>
    </row>
    <row r="1649" spans="1:9" x14ac:dyDescent="0.2">
      <c r="A1649" s="2">
        <v>5</v>
      </c>
      <c r="B1649" s="1" t="s">
        <v>114</v>
      </c>
      <c r="C1649" s="4">
        <v>16</v>
      </c>
      <c r="D1649" s="8">
        <v>4.92</v>
      </c>
      <c r="E1649" s="4">
        <v>15</v>
      </c>
      <c r="F1649" s="8">
        <v>8.3800000000000008</v>
      </c>
      <c r="G1649" s="4">
        <v>1</v>
      </c>
      <c r="H1649" s="8">
        <v>0.7</v>
      </c>
      <c r="I1649" s="4">
        <v>0</v>
      </c>
    </row>
    <row r="1650" spans="1:9" x14ac:dyDescent="0.2">
      <c r="A1650" s="2">
        <v>7</v>
      </c>
      <c r="B1650" s="1" t="s">
        <v>106</v>
      </c>
      <c r="C1650" s="4">
        <v>14</v>
      </c>
      <c r="D1650" s="8">
        <v>4.3099999999999996</v>
      </c>
      <c r="E1650" s="4">
        <v>9</v>
      </c>
      <c r="F1650" s="8">
        <v>5.03</v>
      </c>
      <c r="G1650" s="4">
        <v>5</v>
      </c>
      <c r="H1650" s="8">
        <v>3.5</v>
      </c>
      <c r="I1650" s="4">
        <v>0</v>
      </c>
    </row>
    <row r="1651" spans="1:9" x14ac:dyDescent="0.2">
      <c r="A1651" s="2">
        <v>7</v>
      </c>
      <c r="B1651" s="1" t="s">
        <v>108</v>
      </c>
      <c r="C1651" s="4">
        <v>14</v>
      </c>
      <c r="D1651" s="8">
        <v>4.3099999999999996</v>
      </c>
      <c r="E1651" s="4">
        <v>6</v>
      </c>
      <c r="F1651" s="8">
        <v>3.35</v>
      </c>
      <c r="G1651" s="4">
        <v>8</v>
      </c>
      <c r="H1651" s="8">
        <v>5.59</v>
      </c>
      <c r="I1651" s="4">
        <v>0</v>
      </c>
    </row>
    <row r="1652" spans="1:9" x14ac:dyDescent="0.2">
      <c r="A1652" s="2">
        <v>9</v>
      </c>
      <c r="B1652" s="1" t="s">
        <v>107</v>
      </c>
      <c r="C1652" s="4">
        <v>13</v>
      </c>
      <c r="D1652" s="8">
        <v>4</v>
      </c>
      <c r="E1652" s="4">
        <v>12</v>
      </c>
      <c r="F1652" s="8">
        <v>6.7</v>
      </c>
      <c r="G1652" s="4">
        <v>1</v>
      </c>
      <c r="H1652" s="8">
        <v>0.7</v>
      </c>
      <c r="I1652" s="4">
        <v>0</v>
      </c>
    </row>
    <row r="1653" spans="1:9" x14ac:dyDescent="0.2">
      <c r="A1653" s="2">
        <v>10</v>
      </c>
      <c r="B1653" s="1" t="s">
        <v>101</v>
      </c>
      <c r="C1653" s="4">
        <v>12</v>
      </c>
      <c r="D1653" s="8">
        <v>3.69</v>
      </c>
      <c r="E1653" s="4">
        <v>5</v>
      </c>
      <c r="F1653" s="8">
        <v>2.79</v>
      </c>
      <c r="G1653" s="4">
        <v>7</v>
      </c>
      <c r="H1653" s="8">
        <v>4.9000000000000004</v>
      </c>
      <c r="I1653" s="4">
        <v>0</v>
      </c>
    </row>
    <row r="1654" spans="1:9" x14ac:dyDescent="0.2">
      <c r="A1654" s="2">
        <v>10</v>
      </c>
      <c r="B1654" s="1" t="s">
        <v>115</v>
      </c>
      <c r="C1654" s="4">
        <v>12</v>
      </c>
      <c r="D1654" s="8">
        <v>3.69</v>
      </c>
      <c r="E1654" s="4">
        <v>8</v>
      </c>
      <c r="F1654" s="8">
        <v>4.47</v>
      </c>
      <c r="G1654" s="4">
        <v>3</v>
      </c>
      <c r="H1654" s="8">
        <v>2.1</v>
      </c>
      <c r="I1654" s="4">
        <v>0</v>
      </c>
    </row>
    <row r="1655" spans="1:9" x14ac:dyDescent="0.2">
      <c r="A1655" s="2">
        <v>12</v>
      </c>
      <c r="B1655" s="1" t="s">
        <v>129</v>
      </c>
      <c r="C1655" s="4">
        <v>7</v>
      </c>
      <c r="D1655" s="8">
        <v>2.15</v>
      </c>
      <c r="E1655" s="4">
        <v>7</v>
      </c>
      <c r="F1655" s="8">
        <v>3.91</v>
      </c>
      <c r="G1655" s="4">
        <v>0</v>
      </c>
      <c r="H1655" s="8">
        <v>0</v>
      </c>
      <c r="I1655" s="4">
        <v>0</v>
      </c>
    </row>
    <row r="1656" spans="1:9" x14ac:dyDescent="0.2">
      <c r="A1656" s="2">
        <v>13</v>
      </c>
      <c r="B1656" s="1" t="s">
        <v>131</v>
      </c>
      <c r="C1656" s="4">
        <v>6</v>
      </c>
      <c r="D1656" s="8">
        <v>1.85</v>
      </c>
      <c r="E1656" s="4">
        <v>3</v>
      </c>
      <c r="F1656" s="8">
        <v>1.68</v>
      </c>
      <c r="G1656" s="4">
        <v>3</v>
      </c>
      <c r="H1656" s="8">
        <v>2.1</v>
      </c>
      <c r="I1656" s="4">
        <v>0</v>
      </c>
    </row>
    <row r="1657" spans="1:9" x14ac:dyDescent="0.2">
      <c r="A1657" s="2">
        <v>13</v>
      </c>
      <c r="B1657" s="1" t="s">
        <v>135</v>
      </c>
      <c r="C1657" s="4">
        <v>6</v>
      </c>
      <c r="D1657" s="8">
        <v>1.85</v>
      </c>
      <c r="E1657" s="4">
        <v>3</v>
      </c>
      <c r="F1657" s="8">
        <v>1.68</v>
      </c>
      <c r="G1657" s="4">
        <v>3</v>
      </c>
      <c r="H1657" s="8">
        <v>2.1</v>
      </c>
      <c r="I1657" s="4">
        <v>0</v>
      </c>
    </row>
    <row r="1658" spans="1:9" x14ac:dyDescent="0.2">
      <c r="A1658" s="2">
        <v>13</v>
      </c>
      <c r="B1658" s="1" t="s">
        <v>116</v>
      </c>
      <c r="C1658" s="4">
        <v>6</v>
      </c>
      <c r="D1658" s="8">
        <v>1.85</v>
      </c>
      <c r="E1658" s="4">
        <v>6</v>
      </c>
      <c r="F1658" s="8">
        <v>3.35</v>
      </c>
      <c r="G1658" s="4">
        <v>0</v>
      </c>
      <c r="H1658" s="8">
        <v>0</v>
      </c>
      <c r="I1658" s="4">
        <v>0</v>
      </c>
    </row>
    <row r="1659" spans="1:9" x14ac:dyDescent="0.2">
      <c r="A1659" s="2">
        <v>16</v>
      </c>
      <c r="B1659" s="1" t="s">
        <v>119</v>
      </c>
      <c r="C1659" s="4">
        <v>5</v>
      </c>
      <c r="D1659" s="8">
        <v>1.54</v>
      </c>
      <c r="E1659" s="4">
        <v>0</v>
      </c>
      <c r="F1659" s="8">
        <v>0</v>
      </c>
      <c r="G1659" s="4">
        <v>5</v>
      </c>
      <c r="H1659" s="8">
        <v>3.5</v>
      </c>
      <c r="I1659" s="4">
        <v>0</v>
      </c>
    </row>
    <row r="1660" spans="1:9" x14ac:dyDescent="0.2">
      <c r="A1660" s="2">
        <v>17</v>
      </c>
      <c r="B1660" s="1" t="s">
        <v>120</v>
      </c>
      <c r="C1660" s="4">
        <v>4</v>
      </c>
      <c r="D1660" s="8">
        <v>1.23</v>
      </c>
      <c r="E1660" s="4">
        <v>2</v>
      </c>
      <c r="F1660" s="8">
        <v>1.1200000000000001</v>
      </c>
      <c r="G1660" s="4">
        <v>2</v>
      </c>
      <c r="H1660" s="8">
        <v>1.4</v>
      </c>
      <c r="I1660" s="4">
        <v>0</v>
      </c>
    </row>
    <row r="1661" spans="1:9" x14ac:dyDescent="0.2">
      <c r="A1661" s="2">
        <v>17</v>
      </c>
      <c r="B1661" s="1" t="s">
        <v>142</v>
      </c>
      <c r="C1661" s="4">
        <v>4</v>
      </c>
      <c r="D1661" s="8">
        <v>1.23</v>
      </c>
      <c r="E1661" s="4">
        <v>3</v>
      </c>
      <c r="F1661" s="8">
        <v>1.68</v>
      </c>
      <c r="G1661" s="4">
        <v>1</v>
      </c>
      <c r="H1661" s="8">
        <v>0.7</v>
      </c>
      <c r="I1661" s="4">
        <v>0</v>
      </c>
    </row>
    <row r="1662" spans="1:9" x14ac:dyDescent="0.2">
      <c r="A1662" s="2">
        <v>17</v>
      </c>
      <c r="B1662" s="1" t="s">
        <v>132</v>
      </c>
      <c r="C1662" s="4">
        <v>4</v>
      </c>
      <c r="D1662" s="8">
        <v>1.23</v>
      </c>
      <c r="E1662" s="4">
        <v>1</v>
      </c>
      <c r="F1662" s="8">
        <v>0.56000000000000005</v>
      </c>
      <c r="G1662" s="4">
        <v>3</v>
      </c>
      <c r="H1662" s="8">
        <v>2.1</v>
      </c>
      <c r="I1662" s="4">
        <v>0</v>
      </c>
    </row>
    <row r="1663" spans="1:9" x14ac:dyDescent="0.2">
      <c r="A1663" s="2">
        <v>17</v>
      </c>
      <c r="B1663" s="1" t="s">
        <v>127</v>
      </c>
      <c r="C1663" s="4">
        <v>4</v>
      </c>
      <c r="D1663" s="8">
        <v>1.23</v>
      </c>
      <c r="E1663" s="4">
        <v>1</v>
      </c>
      <c r="F1663" s="8">
        <v>0.56000000000000005</v>
      </c>
      <c r="G1663" s="4">
        <v>3</v>
      </c>
      <c r="H1663" s="8">
        <v>2.1</v>
      </c>
      <c r="I1663" s="4">
        <v>0</v>
      </c>
    </row>
    <row r="1664" spans="1:9" x14ac:dyDescent="0.2">
      <c r="A1664" s="2">
        <v>17</v>
      </c>
      <c r="B1664" s="1" t="s">
        <v>118</v>
      </c>
      <c r="C1664" s="4">
        <v>4</v>
      </c>
      <c r="D1664" s="8">
        <v>1.23</v>
      </c>
      <c r="E1664" s="4">
        <v>1</v>
      </c>
      <c r="F1664" s="8">
        <v>0.56000000000000005</v>
      </c>
      <c r="G1664" s="4">
        <v>3</v>
      </c>
      <c r="H1664" s="8">
        <v>2.1</v>
      </c>
      <c r="I1664" s="4">
        <v>0</v>
      </c>
    </row>
    <row r="1665" spans="1:9" x14ac:dyDescent="0.2">
      <c r="A1665" s="2">
        <v>17</v>
      </c>
      <c r="B1665" s="1" t="s">
        <v>104</v>
      </c>
      <c r="C1665" s="4">
        <v>4</v>
      </c>
      <c r="D1665" s="8">
        <v>1.23</v>
      </c>
      <c r="E1665" s="4">
        <v>0</v>
      </c>
      <c r="F1665" s="8">
        <v>0</v>
      </c>
      <c r="G1665" s="4">
        <v>4</v>
      </c>
      <c r="H1665" s="8">
        <v>2.8</v>
      </c>
      <c r="I1665" s="4">
        <v>0</v>
      </c>
    </row>
    <row r="1666" spans="1:9" x14ac:dyDescent="0.2">
      <c r="A1666" s="2">
        <v>17</v>
      </c>
      <c r="B1666" s="1" t="s">
        <v>111</v>
      </c>
      <c r="C1666" s="4">
        <v>4</v>
      </c>
      <c r="D1666" s="8">
        <v>1.23</v>
      </c>
      <c r="E1666" s="4">
        <v>2</v>
      </c>
      <c r="F1666" s="8">
        <v>1.1200000000000001</v>
      </c>
      <c r="G1666" s="4">
        <v>2</v>
      </c>
      <c r="H1666" s="8">
        <v>1.4</v>
      </c>
      <c r="I1666" s="4">
        <v>0</v>
      </c>
    </row>
    <row r="1667" spans="1:9" x14ac:dyDescent="0.2">
      <c r="A1667" s="2">
        <v>17</v>
      </c>
      <c r="B1667" s="1" t="s">
        <v>145</v>
      </c>
      <c r="C1667" s="4">
        <v>4</v>
      </c>
      <c r="D1667" s="8">
        <v>1.23</v>
      </c>
      <c r="E1667" s="4">
        <v>2</v>
      </c>
      <c r="F1667" s="8">
        <v>1.1200000000000001</v>
      </c>
      <c r="G1667" s="4">
        <v>1</v>
      </c>
      <c r="H1667" s="8">
        <v>0.7</v>
      </c>
      <c r="I1667" s="4">
        <v>0</v>
      </c>
    </row>
    <row r="1668" spans="1:9" x14ac:dyDescent="0.2">
      <c r="A1668" s="1"/>
      <c r="C1668" s="4"/>
      <c r="D1668" s="8"/>
      <c r="E1668" s="4"/>
      <c r="F1668" s="8"/>
      <c r="G1668" s="4"/>
      <c r="H1668" s="8"/>
      <c r="I1668" s="4"/>
    </row>
    <row r="1669" spans="1:9" x14ac:dyDescent="0.2">
      <c r="A1669" s="1" t="s">
        <v>74</v>
      </c>
      <c r="C1669" s="4"/>
      <c r="D1669" s="8"/>
      <c r="E1669" s="4"/>
      <c r="F1669" s="8"/>
      <c r="G1669" s="4"/>
      <c r="H1669" s="8"/>
      <c r="I1669" s="4"/>
    </row>
    <row r="1670" spans="1:9" x14ac:dyDescent="0.2">
      <c r="A1670" s="2">
        <v>1</v>
      </c>
      <c r="B1670" s="1" t="s">
        <v>98</v>
      </c>
      <c r="C1670" s="4">
        <v>19</v>
      </c>
      <c r="D1670" s="8">
        <v>15.97</v>
      </c>
      <c r="E1670" s="4">
        <v>9</v>
      </c>
      <c r="F1670" s="8">
        <v>14.06</v>
      </c>
      <c r="G1670" s="4">
        <v>10</v>
      </c>
      <c r="H1670" s="8">
        <v>18.87</v>
      </c>
      <c r="I1670" s="4">
        <v>0</v>
      </c>
    </row>
    <row r="1671" spans="1:9" x14ac:dyDescent="0.2">
      <c r="A1671" s="2">
        <v>2</v>
      </c>
      <c r="B1671" s="1" t="s">
        <v>110</v>
      </c>
      <c r="C1671" s="4">
        <v>12</v>
      </c>
      <c r="D1671" s="8">
        <v>10.08</v>
      </c>
      <c r="E1671" s="4">
        <v>6</v>
      </c>
      <c r="F1671" s="8">
        <v>9.3800000000000008</v>
      </c>
      <c r="G1671" s="4">
        <v>6</v>
      </c>
      <c r="H1671" s="8">
        <v>11.32</v>
      </c>
      <c r="I1671" s="4">
        <v>0</v>
      </c>
    </row>
    <row r="1672" spans="1:9" x14ac:dyDescent="0.2">
      <c r="A1672" s="2">
        <v>3</v>
      </c>
      <c r="B1672" s="1" t="s">
        <v>132</v>
      </c>
      <c r="C1672" s="4">
        <v>7</v>
      </c>
      <c r="D1672" s="8">
        <v>5.88</v>
      </c>
      <c r="E1672" s="4">
        <v>4</v>
      </c>
      <c r="F1672" s="8">
        <v>6.25</v>
      </c>
      <c r="G1672" s="4">
        <v>3</v>
      </c>
      <c r="H1672" s="8">
        <v>5.66</v>
      </c>
      <c r="I1672" s="4">
        <v>0</v>
      </c>
    </row>
    <row r="1673" spans="1:9" x14ac:dyDescent="0.2">
      <c r="A1673" s="2">
        <v>3</v>
      </c>
      <c r="B1673" s="1" t="s">
        <v>106</v>
      </c>
      <c r="C1673" s="4">
        <v>7</v>
      </c>
      <c r="D1673" s="8">
        <v>5.88</v>
      </c>
      <c r="E1673" s="4">
        <v>5</v>
      </c>
      <c r="F1673" s="8">
        <v>7.81</v>
      </c>
      <c r="G1673" s="4">
        <v>2</v>
      </c>
      <c r="H1673" s="8">
        <v>3.77</v>
      </c>
      <c r="I1673" s="4">
        <v>0</v>
      </c>
    </row>
    <row r="1674" spans="1:9" x14ac:dyDescent="0.2">
      <c r="A1674" s="2">
        <v>3</v>
      </c>
      <c r="B1674" s="1" t="s">
        <v>113</v>
      </c>
      <c r="C1674" s="4">
        <v>7</v>
      </c>
      <c r="D1674" s="8">
        <v>5.88</v>
      </c>
      <c r="E1674" s="4">
        <v>7</v>
      </c>
      <c r="F1674" s="8">
        <v>10.94</v>
      </c>
      <c r="G1674" s="4">
        <v>0</v>
      </c>
      <c r="H1674" s="8">
        <v>0</v>
      </c>
      <c r="I1674" s="4">
        <v>0</v>
      </c>
    </row>
    <row r="1675" spans="1:9" x14ac:dyDescent="0.2">
      <c r="A1675" s="2">
        <v>6</v>
      </c>
      <c r="B1675" s="1" t="s">
        <v>120</v>
      </c>
      <c r="C1675" s="4">
        <v>5</v>
      </c>
      <c r="D1675" s="8">
        <v>4.2</v>
      </c>
      <c r="E1675" s="4">
        <v>3</v>
      </c>
      <c r="F1675" s="8">
        <v>4.6900000000000004</v>
      </c>
      <c r="G1675" s="4">
        <v>2</v>
      </c>
      <c r="H1675" s="8">
        <v>3.77</v>
      </c>
      <c r="I1675" s="4">
        <v>0</v>
      </c>
    </row>
    <row r="1676" spans="1:9" x14ac:dyDescent="0.2">
      <c r="A1676" s="2">
        <v>6</v>
      </c>
      <c r="B1676" s="1" t="s">
        <v>102</v>
      </c>
      <c r="C1676" s="4">
        <v>5</v>
      </c>
      <c r="D1676" s="8">
        <v>4.2</v>
      </c>
      <c r="E1676" s="4">
        <v>1</v>
      </c>
      <c r="F1676" s="8">
        <v>1.56</v>
      </c>
      <c r="G1676" s="4">
        <v>4</v>
      </c>
      <c r="H1676" s="8">
        <v>7.55</v>
      </c>
      <c r="I1676" s="4">
        <v>0</v>
      </c>
    </row>
    <row r="1677" spans="1:9" x14ac:dyDescent="0.2">
      <c r="A1677" s="2">
        <v>6</v>
      </c>
      <c r="B1677" s="1" t="s">
        <v>108</v>
      </c>
      <c r="C1677" s="4">
        <v>5</v>
      </c>
      <c r="D1677" s="8">
        <v>4.2</v>
      </c>
      <c r="E1677" s="4">
        <v>3</v>
      </c>
      <c r="F1677" s="8">
        <v>4.6900000000000004</v>
      </c>
      <c r="G1677" s="4">
        <v>2</v>
      </c>
      <c r="H1677" s="8">
        <v>3.77</v>
      </c>
      <c r="I1677" s="4">
        <v>0</v>
      </c>
    </row>
    <row r="1678" spans="1:9" x14ac:dyDescent="0.2">
      <c r="A1678" s="2">
        <v>6</v>
      </c>
      <c r="B1678" s="1" t="s">
        <v>115</v>
      </c>
      <c r="C1678" s="4">
        <v>5</v>
      </c>
      <c r="D1678" s="8">
        <v>4.2</v>
      </c>
      <c r="E1678" s="4">
        <v>4</v>
      </c>
      <c r="F1678" s="8">
        <v>6.25</v>
      </c>
      <c r="G1678" s="4">
        <v>1</v>
      </c>
      <c r="H1678" s="8">
        <v>1.89</v>
      </c>
      <c r="I1678" s="4">
        <v>0</v>
      </c>
    </row>
    <row r="1679" spans="1:9" x14ac:dyDescent="0.2">
      <c r="A1679" s="2">
        <v>10</v>
      </c>
      <c r="B1679" s="1" t="s">
        <v>101</v>
      </c>
      <c r="C1679" s="4">
        <v>4</v>
      </c>
      <c r="D1679" s="8">
        <v>3.36</v>
      </c>
      <c r="E1679" s="4">
        <v>2</v>
      </c>
      <c r="F1679" s="8">
        <v>3.13</v>
      </c>
      <c r="G1679" s="4">
        <v>2</v>
      </c>
      <c r="H1679" s="8">
        <v>3.77</v>
      </c>
      <c r="I1679" s="4">
        <v>0</v>
      </c>
    </row>
    <row r="1680" spans="1:9" x14ac:dyDescent="0.2">
      <c r="A1680" s="2">
        <v>11</v>
      </c>
      <c r="B1680" s="1" t="s">
        <v>99</v>
      </c>
      <c r="C1680" s="4">
        <v>3</v>
      </c>
      <c r="D1680" s="8">
        <v>2.52</v>
      </c>
      <c r="E1680" s="4">
        <v>2</v>
      </c>
      <c r="F1680" s="8">
        <v>3.13</v>
      </c>
      <c r="G1680" s="4">
        <v>1</v>
      </c>
      <c r="H1680" s="8">
        <v>1.89</v>
      </c>
      <c r="I1680" s="4">
        <v>0</v>
      </c>
    </row>
    <row r="1681" spans="1:9" x14ac:dyDescent="0.2">
      <c r="A1681" s="2">
        <v>11</v>
      </c>
      <c r="B1681" s="1" t="s">
        <v>138</v>
      </c>
      <c r="C1681" s="4">
        <v>3</v>
      </c>
      <c r="D1681" s="8">
        <v>2.52</v>
      </c>
      <c r="E1681" s="4">
        <v>1</v>
      </c>
      <c r="F1681" s="8">
        <v>1.56</v>
      </c>
      <c r="G1681" s="4">
        <v>2</v>
      </c>
      <c r="H1681" s="8">
        <v>3.77</v>
      </c>
      <c r="I1681" s="4">
        <v>0</v>
      </c>
    </row>
    <row r="1682" spans="1:9" x14ac:dyDescent="0.2">
      <c r="A1682" s="2">
        <v>11</v>
      </c>
      <c r="B1682" s="1" t="s">
        <v>114</v>
      </c>
      <c r="C1682" s="4">
        <v>3</v>
      </c>
      <c r="D1682" s="8">
        <v>2.52</v>
      </c>
      <c r="E1682" s="4">
        <v>3</v>
      </c>
      <c r="F1682" s="8">
        <v>4.6900000000000004</v>
      </c>
      <c r="G1682" s="4">
        <v>0</v>
      </c>
      <c r="H1682" s="8">
        <v>0</v>
      </c>
      <c r="I1682" s="4">
        <v>0</v>
      </c>
    </row>
    <row r="1683" spans="1:9" x14ac:dyDescent="0.2">
      <c r="A1683" s="2">
        <v>14</v>
      </c>
      <c r="B1683" s="1" t="s">
        <v>100</v>
      </c>
      <c r="C1683" s="4">
        <v>2</v>
      </c>
      <c r="D1683" s="8">
        <v>1.68</v>
      </c>
      <c r="E1683" s="4">
        <v>0</v>
      </c>
      <c r="F1683" s="8">
        <v>0</v>
      </c>
      <c r="G1683" s="4">
        <v>2</v>
      </c>
      <c r="H1683" s="8">
        <v>3.77</v>
      </c>
      <c r="I1683" s="4">
        <v>0</v>
      </c>
    </row>
    <row r="1684" spans="1:9" x14ac:dyDescent="0.2">
      <c r="A1684" s="2">
        <v>14</v>
      </c>
      <c r="B1684" s="1" t="s">
        <v>149</v>
      </c>
      <c r="C1684" s="4">
        <v>2</v>
      </c>
      <c r="D1684" s="8">
        <v>1.68</v>
      </c>
      <c r="E1684" s="4">
        <v>1</v>
      </c>
      <c r="F1684" s="8">
        <v>1.56</v>
      </c>
      <c r="G1684" s="4">
        <v>1</v>
      </c>
      <c r="H1684" s="8">
        <v>1.89</v>
      </c>
      <c r="I1684" s="4">
        <v>0</v>
      </c>
    </row>
    <row r="1685" spans="1:9" x14ac:dyDescent="0.2">
      <c r="A1685" s="2">
        <v>14</v>
      </c>
      <c r="B1685" s="1" t="s">
        <v>141</v>
      </c>
      <c r="C1685" s="4">
        <v>2</v>
      </c>
      <c r="D1685" s="8">
        <v>1.68</v>
      </c>
      <c r="E1685" s="4">
        <v>1</v>
      </c>
      <c r="F1685" s="8">
        <v>1.56</v>
      </c>
      <c r="G1685" s="4">
        <v>1</v>
      </c>
      <c r="H1685" s="8">
        <v>1.89</v>
      </c>
      <c r="I1685" s="4">
        <v>0</v>
      </c>
    </row>
    <row r="1686" spans="1:9" x14ac:dyDescent="0.2">
      <c r="A1686" s="2">
        <v>14</v>
      </c>
      <c r="B1686" s="1" t="s">
        <v>142</v>
      </c>
      <c r="C1686" s="4">
        <v>2</v>
      </c>
      <c r="D1686" s="8">
        <v>1.68</v>
      </c>
      <c r="E1686" s="4">
        <v>2</v>
      </c>
      <c r="F1686" s="8">
        <v>3.13</v>
      </c>
      <c r="G1686" s="4">
        <v>0</v>
      </c>
      <c r="H1686" s="8">
        <v>0</v>
      </c>
      <c r="I1686" s="4">
        <v>0</v>
      </c>
    </row>
    <row r="1687" spans="1:9" x14ac:dyDescent="0.2">
      <c r="A1687" s="2">
        <v>14</v>
      </c>
      <c r="B1687" s="1" t="s">
        <v>131</v>
      </c>
      <c r="C1687" s="4">
        <v>2</v>
      </c>
      <c r="D1687" s="8">
        <v>1.68</v>
      </c>
      <c r="E1687" s="4">
        <v>1</v>
      </c>
      <c r="F1687" s="8">
        <v>1.56</v>
      </c>
      <c r="G1687" s="4">
        <v>1</v>
      </c>
      <c r="H1687" s="8">
        <v>1.89</v>
      </c>
      <c r="I1687" s="4">
        <v>0</v>
      </c>
    </row>
    <row r="1688" spans="1:9" x14ac:dyDescent="0.2">
      <c r="A1688" s="2">
        <v>14</v>
      </c>
      <c r="B1688" s="1" t="s">
        <v>146</v>
      </c>
      <c r="C1688" s="4">
        <v>2</v>
      </c>
      <c r="D1688" s="8">
        <v>1.68</v>
      </c>
      <c r="E1688" s="4">
        <v>1</v>
      </c>
      <c r="F1688" s="8">
        <v>1.56</v>
      </c>
      <c r="G1688" s="4">
        <v>1</v>
      </c>
      <c r="H1688" s="8">
        <v>1.89</v>
      </c>
      <c r="I1688" s="4">
        <v>0</v>
      </c>
    </row>
    <row r="1689" spans="1:9" x14ac:dyDescent="0.2">
      <c r="A1689" s="2">
        <v>14</v>
      </c>
      <c r="B1689" s="1" t="s">
        <v>104</v>
      </c>
      <c r="C1689" s="4">
        <v>2</v>
      </c>
      <c r="D1689" s="8">
        <v>1.68</v>
      </c>
      <c r="E1689" s="4">
        <v>0</v>
      </c>
      <c r="F1689" s="8">
        <v>0</v>
      </c>
      <c r="G1689" s="4">
        <v>2</v>
      </c>
      <c r="H1689" s="8">
        <v>3.77</v>
      </c>
      <c r="I1689" s="4">
        <v>0</v>
      </c>
    </row>
    <row r="1690" spans="1:9" x14ac:dyDescent="0.2">
      <c r="A1690" s="2">
        <v>14</v>
      </c>
      <c r="B1690" s="1" t="s">
        <v>124</v>
      </c>
      <c r="C1690" s="4">
        <v>2</v>
      </c>
      <c r="D1690" s="8">
        <v>1.68</v>
      </c>
      <c r="E1690" s="4">
        <v>1</v>
      </c>
      <c r="F1690" s="8">
        <v>1.56</v>
      </c>
      <c r="G1690" s="4">
        <v>0</v>
      </c>
      <c r="H1690" s="8">
        <v>0</v>
      </c>
      <c r="I1690" s="4">
        <v>0</v>
      </c>
    </row>
    <row r="1691" spans="1:9" x14ac:dyDescent="0.2">
      <c r="A1691" s="2">
        <v>14</v>
      </c>
      <c r="B1691" s="1" t="s">
        <v>145</v>
      </c>
      <c r="C1691" s="4">
        <v>2</v>
      </c>
      <c r="D1691" s="8">
        <v>1.68</v>
      </c>
      <c r="E1691" s="4">
        <v>1</v>
      </c>
      <c r="F1691" s="8">
        <v>1.56</v>
      </c>
      <c r="G1691" s="4">
        <v>1</v>
      </c>
      <c r="H1691" s="8">
        <v>1.89</v>
      </c>
      <c r="I1691" s="4">
        <v>0</v>
      </c>
    </row>
    <row r="1692" spans="1:9" x14ac:dyDescent="0.2">
      <c r="A1692" s="2">
        <v>14</v>
      </c>
      <c r="B1692" s="1" t="s">
        <v>116</v>
      </c>
      <c r="C1692" s="4">
        <v>2</v>
      </c>
      <c r="D1692" s="8">
        <v>1.68</v>
      </c>
      <c r="E1692" s="4">
        <v>2</v>
      </c>
      <c r="F1692" s="8">
        <v>3.13</v>
      </c>
      <c r="G1692" s="4">
        <v>0</v>
      </c>
      <c r="H1692" s="8">
        <v>0</v>
      </c>
      <c r="I1692" s="4">
        <v>0</v>
      </c>
    </row>
    <row r="1693" spans="1:9" x14ac:dyDescent="0.2">
      <c r="A1693" s="2">
        <v>14</v>
      </c>
      <c r="B1693" s="1" t="s">
        <v>129</v>
      </c>
      <c r="C1693" s="4">
        <v>2</v>
      </c>
      <c r="D1693" s="8">
        <v>1.68</v>
      </c>
      <c r="E1693" s="4">
        <v>2</v>
      </c>
      <c r="F1693" s="8">
        <v>3.13</v>
      </c>
      <c r="G1693" s="4">
        <v>0</v>
      </c>
      <c r="H1693" s="8">
        <v>0</v>
      </c>
      <c r="I1693" s="4">
        <v>0</v>
      </c>
    </row>
    <row r="1694" spans="1:9" x14ac:dyDescent="0.2">
      <c r="A1694" s="1"/>
      <c r="C1694" s="4"/>
      <c r="D1694" s="8"/>
      <c r="E1694" s="4"/>
      <c r="F1694" s="8"/>
      <c r="G1694" s="4"/>
      <c r="H1694" s="8"/>
      <c r="I1694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産業中分類トップ２０</oddHeader>
    <oddFooter>&amp;C&amp;P /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D988A-6B99-43CB-B3A0-3510D7BC7790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299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534</v>
      </c>
      <c r="D6" s="8">
        <v>3.37</v>
      </c>
      <c r="E6" s="12">
        <v>13</v>
      </c>
      <c r="F6" s="8">
        <v>0.24</v>
      </c>
      <c r="G6" s="12">
        <v>521</v>
      </c>
      <c r="H6" s="8">
        <v>4.99</v>
      </c>
      <c r="I6" s="12">
        <v>0</v>
      </c>
    </row>
    <row r="7" spans="2:9" ht="15" customHeight="1" x14ac:dyDescent="0.2">
      <c r="B7" t="s">
        <v>77</v>
      </c>
      <c r="C7" s="12">
        <v>752</v>
      </c>
      <c r="D7" s="8">
        <v>4.74</v>
      </c>
      <c r="E7" s="12">
        <v>133</v>
      </c>
      <c r="F7" s="8">
        <v>2.4700000000000002</v>
      </c>
      <c r="G7" s="12">
        <v>619</v>
      </c>
      <c r="H7" s="8">
        <v>5.93</v>
      </c>
      <c r="I7" s="12">
        <v>0</v>
      </c>
    </row>
    <row r="8" spans="2:9" ht="15" customHeight="1" x14ac:dyDescent="0.2">
      <c r="B8" t="s">
        <v>78</v>
      </c>
      <c r="C8" s="12">
        <v>15</v>
      </c>
      <c r="D8" s="8">
        <v>0.09</v>
      </c>
      <c r="E8" s="12">
        <v>0</v>
      </c>
      <c r="F8" s="8">
        <v>0</v>
      </c>
      <c r="G8" s="12">
        <v>15</v>
      </c>
      <c r="H8" s="8">
        <v>0.14000000000000001</v>
      </c>
      <c r="I8" s="12">
        <v>0</v>
      </c>
    </row>
    <row r="9" spans="2:9" ht="15" customHeight="1" x14ac:dyDescent="0.2">
      <c r="B9" t="s">
        <v>79</v>
      </c>
      <c r="C9" s="12">
        <v>601</v>
      </c>
      <c r="D9" s="8">
        <v>3.79</v>
      </c>
      <c r="E9" s="12">
        <v>43</v>
      </c>
      <c r="F9" s="8">
        <v>0.8</v>
      </c>
      <c r="G9" s="12">
        <v>555</v>
      </c>
      <c r="H9" s="8">
        <v>5.31</v>
      </c>
      <c r="I9" s="12">
        <v>3</v>
      </c>
    </row>
    <row r="10" spans="2:9" ht="15" customHeight="1" x14ac:dyDescent="0.2">
      <c r="B10" t="s">
        <v>80</v>
      </c>
      <c r="C10" s="12">
        <v>141</v>
      </c>
      <c r="D10" s="8">
        <v>0.89</v>
      </c>
      <c r="E10" s="12">
        <v>7</v>
      </c>
      <c r="F10" s="8">
        <v>0.13</v>
      </c>
      <c r="G10" s="12">
        <v>133</v>
      </c>
      <c r="H10" s="8">
        <v>1.27</v>
      </c>
      <c r="I10" s="12">
        <v>1</v>
      </c>
    </row>
    <row r="11" spans="2:9" ht="15" customHeight="1" x14ac:dyDescent="0.2">
      <c r="B11" t="s">
        <v>81</v>
      </c>
      <c r="C11" s="12">
        <v>4354</v>
      </c>
      <c r="D11" s="8">
        <v>27.44</v>
      </c>
      <c r="E11" s="12">
        <v>787</v>
      </c>
      <c r="F11" s="8">
        <v>14.62</v>
      </c>
      <c r="G11" s="12">
        <v>3566</v>
      </c>
      <c r="H11" s="8">
        <v>34.15</v>
      </c>
      <c r="I11" s="12">
        <v>1</v>
      </c>
    </row>
    <row r="12" spans="2:9" ht="15" customHeight="1" x14ac:dyDescent="0.2">
      <c r="B12" t="s">
        <v>82</v>
      </c>
      <c r="C12" s="12">
        <v>191</v>
      </c>
      <c r="D12" s="8">
        <v>1.2</v>
      </c>
      <c r="E12" s="12">
        <v>9</v>
      </c>
      <c r="F12" s="8">
        <v>0.17</v>
      </c>
      <c r="G12" s="12">
        <v>182</v>
      </c>
      <c r="H12" s="8">
        <v>1.74</v>
      </c>
      <c r="I12" s="12">
        <v>0</v>
      </c>
    </row>
    <row r="13" spans="2:9" ht="15" customHeight="1" x14ac:dyDescent="0.2">
      <c r="B13" t="s">
        <v>83</v>
      </c>
      <c r="C13" s="12">
        <v>1937</v>
      </c>
      <c r="D13" s="8">
        <v>12.21</v>
      </c>
      <c r="E13" s="12">
        <v>176</v>
      </c>
      <c r="F13" s="8">
        <v>3.27</v>
      </c>
      <c r="G13" s="12">
        <v>1759</v>
      </c>
      <c r="H13" s="8">
        <v>16.84</v>
      </c>
      <c r="I13" s="12">
        <v>2</v>
      </c>
    </row>
    <row r="14" spans="2:9" ht="15" customHeight="1" x14ac:dyDescent="0.2">
      <c r="B14" t="s">
        <v>84</v>
      </c>
      <c r="C14" s="12">
        <v>2972</v>
      </c>
      <c r="D14" s="8">
        <v>18.73</v>
      </c>
      <c r="E14" s="12">
        <v>1671</v>
      </c>
      <c r="F14" s="8">
        <v>31.04</v>
      </c>
      <c r="G14" s="12">
        <v>1294</v>
      </c>
      <c r="H14" s="8">
        <v>12.39</v>
      </c>
      <c r="I14" s="12">
        <v>7</v>
      </c>
    </row>
    <row r="15" spans="2:9" ht="15" customHeight="1" x14ac:dyDescent="0.2">
      <c r="B15" t="s">
        <v>85</v>
      </c>
      <c r="C15" s="12">
        <v>2154</v>
      </c>
      <c r="D15" s="8">
        <v>13.57</v>
      </c>
      <c r="E15" s="12">
        <v>1607</v>
      </c>
      <c r="F15" s="8">
        <v>29.85</v>
      </c>
      <c r="G15" s="12">
        <v>546</v>
      </c>
      <c r="H15" s="8">
        <v>5.23</v>
      </c>
      <c r="I15" s="12">
        <v>0</v>
      </c>
    </row>
    <row r="16" spans="2:9" ht="15" customHeight="1" x14ac:dyDescent="0.2">
      <c r="B16" t="s">
        <v>86</v>
      </c>
      <c r="C16" s="12">
        <v>863</v>
      </c>
      <c r="D16" s="8">
        <v>5.44</v>
      </c>
      <c r="E16" s="12">
        <v>470</v>
      </c>
      <c r="F16" s="8">
        <v>8.73</v>
      </c>
      <c r="G16" s="12">
        <v>393</v>
      </c>
      <c r="H16" s="8">
        <v>3.76</v>
      </c>
      <c r="I16" s="12">
        <v>0</v>
      </c>
    </row>
    <row r="17" spans="2:9" ht="15" customHeight="1" x14ac:dyDescent="0.2">
      <c r="B17" t="s">
        <v>87</v>
      </c>
      <c r="C17" s="12">
        <v>298</v>
      </c>
      <c r="D17" s="8">
        <v>1.88</v>
      </c>
      <c r="E17" s="12">
        <v>140</v>
      </c>
      <c r="F17" s="8">
        <v>2.6</v>
      </c>
      <c r="G17" s="12">
        <v>152</v>
      </c>
      <c r="H17" s="8">
        <v>1.46</v>
      </c>
      <c r="I17" s="12">
        <v>3</v>
      </c>
    </row>
    <row r="18" spans="2:9" ht="15" customHeight="1" x14ac:dyDescent="0.2">
      <c r="B18" t="s">
        <v>88</v>
      </c>
      <c r="C18" s="12">
        <v>434</v>
      </c>
      <c r="D18" s="8">
        <v>2.73</v>
      </c>
      <c r="E18" s="12">
        <v>263</v>
      </c>
      <c r="F18" s="8">
        <v>4.88</v>
      </c>
      <c r="G18" s="12">
        <v>164</v>
      </c>
      <c r="H18" s="8">
        <v>1.57</v>
      </c>
      <c r="I18" s="12">
        <v>7</v>
      </c>
    </row>
    <row r="19" spans="2:9" ht="15" customHeight="1" x14ac:dyDescent="0.2">
      <c r="B19" t="s">
        <v>89</v>
      </c>
      <c r="C19" s="12">
        <v>623</v>
      </c>
      <c r="D19" s="8">
        <v>3.93</v>
      </c>
      <c r="E19" s="12">
        <v>65</v>
      </c>
      <c r="F19" s="8">
        <v>1.21</v>
      </c>
      <c r="G19" s="12">
        <v>544</v>
      </c>
      <c r="H19" s="8">
        <v>5.21</v>
      </c>
      <c r="I19" s="12">
        <v>14</v>
      </c>
    </row>
    <row r="20" spans="2:9" ht="15" customHeight="1" x14ac:dyDescent="0.2">
      <c r="B20" s="9" t="s">
        <v>271</v>
      </c>
      <c r="C20" s="12">
        <f>SUM(LTBL_27128[総数／事業所数])</f>
        <v>15869</v>
      </c>
      <c r="E20" s="12">
        <f>SUBTOTAL(109,LTBL_27128[個人／事業所数])</f>
        <v>5384</v>
      </c>
      <c r="G20" s="12">
        <f>SUBTOTAL(109,LTBL_27128[法人／事業所数])</f>
        <v>10443</v>
      </c>
      <c r="I20" s="12">
        <f>SUBTOTAL(109,LTBL_27128[法人以外の団体／事業所数])</f>
        <v>38</v>
      </c>
    </row>
    <row r="21" spans="2:9" ht="15" customHeight="1" x14ac:dyDescent="0.2">
      <c r="E21" s="11">
        <f>LTBL_27128[[#Totals],[個人／事業所数]]/LTBL_27128[[#Totals],[総数／事業所数]]</f>
        <v>0.33927783729283506</v>
      </c>
      <c r="G21" s="11">
        <f>LTBL_27128[[#Totals],[法人／事業所数]]/LTBL_27128[[#Totals],[総数／事業所数]]</f>
        <v>0.65807549309975422</v>
      </c>
      <c r="I21" s="11">
        <f>LTBL_27128[[#Totals],[法人以外の団体／事業所数]]/LTBL_27128[[#Totals],[総数／事業所数]]</f>
        <v>2.3946058352763248E-3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111</v>
      </c>
      <c r="C24" s="12">
        <v>2373</v>
      </c>
      <c r="D24" s="8">
        <v>14.95</v>
      </c>
      <c r="E24" s="12">
        <v>1493</v>
      </c>
      <c r="F24" s="8">
        <v>27.73</v>
      </c>
      <c r="G24" s="12">
        <v>876</v>
      </c>
      <c r="H24" s="8">
        <v>8.39</v>
      </c>
      <c r="I24" s="12">
        <v>4</v>
      </c>
    </row>
    <row r="25" spans="2:9" ht="15" customHeight="1" x14ac:dyDescent="0.2">
      <c r="B25" t="s">
        <v>113</v>
      </c>
      <c r="C25" s="12">
        <v>2047</v>
      </c>
      <c r="D25" s="8">
        <v>12.9</v>
      </c>
      <c r="E25" s="12">
        <v>1593</v>
      </c>
      <c r="F25" s="8">
        <v>29.59</v>
      </c>
      <c r="G25" s="12">
        <v>454</v>
      </c>
      <c r="H25" s="8">
        <v>4.3499999999999996</v>
      </c>
      <c r="I25" s="12">
        <v>0</v>
      </c>
    </row>
    <row r="26" spans="2:9" ht="15" customHeight="1" x14ac:dyDescent="0.2">
      <c r="B26" t="s">
        <v>110</v>
      </c>
      <c r="C26" s="12">
        <v>1325</v>
      </c>
      <c r="D26" s="8">
        <v>8.35</v>
      </c>
      <c r="E26" s="12">
        <v>142</v>
      </c>
      <c r="F26" s="8">
        <v>2.64</v>
      </c>
      <c r="G26" s="12">
        <v>1181</v>
      </c>
      <c r="H26" s="8">
        <v>11.31</v>
      </c>
      <c r="I26" s="12">
        <v>2</v>
      </c>
    </row>
    <row r="27" spans="2:9" ht="15" customHeight="1" x14ac:dyDescent="0.2">
      <c r="B27" t="s">
        <v>118</v>
      </c>
      <c r="C27" s="12">
        <v>877</v>
      </c>
      <c r="D27" s="8">
        <v>5.53</v>
      </c>
      <c r="E27" s="12">
        <v>141</v>
      </c>
      <c r="F27" s="8">
        <v>2.62</v>
      </c>
      <c r="G27" s="12">
        <v>736</v>
      </c>
      <c r="H27" s="8">
        <v>7.05</v>
      </c>
      <c r="I27" s="12">
        <v>0</v>
      </c>
    </row>
    <row r="28" spans="2:9" ht="15" customHeight="1" x14ac:dyDescent="0.2">
      <c r="B28" t="s">
        <v>108</v>
      </c>
      <c r="C28" s="12">
        <v>685</v>
      </c>
      <c r="D28" s="8">
        <v>4.32</v>
      </c>
      <c r="E28" s="12">
        <v>230</v>
      </c>
      <c r="F28" s="8">
        <v>4.2699999999999996</v>
      </c>
      <c r="G28" s="12">
        <v>455</v>
      </c>
      <c r="H28" s="8">
        <v>4.3600000000000003</v>
      </c>
      <c r="I28" s="12">
        <v>0</v>
      </c>
    </row>
    <row r="29" spans="2:9" ht="15" customHeight="1" x14ac:dyDescent="0.2">
      <c r="B29" t="s">
        <v>105</v>
      </c>
      <c r="C29" s="12">
        <v>665</v>
      </c>
      <c r="D29" s="8">
        <v>4.1900000000000004</v>
      </c>
      <c r="E29" s="12">
        <v>168</v>
      </c>
      <c r="F29" s="8">
        <v>3.12</v>
      </c>
      <c r="G29" s="12">
        <v>497</v>
      </c>
      <c r="H29" s="8">
        <v>4.76</v>
      </c>
      <c r="I29" s="12">
        <v>0</v>
      </c>
    </row>
    <row r="30" spans="2:9" ht="15" customHeight="1" x14ac:dyDescent="0.2">
      <c r="B30" t="s">
        <v>104</v>
      </c>
      <c r="C30" s="12">
        <v>607</v>
      </c>
      <c r="D30" s="8">
        <v>3.83</v>
      </c>
      <c r="E30" s="12">
        <v>44</v>
      </c>
      <c r="F30" s="8">
        <v>0.82</v>
      </c>
      <c r="G30" s="12">
        <v>563</v>
      </c>
      <c r="H30" s="8">
        <v>5.39</v>
      </c>
      <c r="I30" s="12">
        <v>0</v>
      </c>
    </row>
    <row r="31" spans="2:9" ht="15" customHeight="1" x14ac:dyDescent="0.2">
      <c r="B31" t="s">
        <v>114</v>
      </c>
      <c r="C31" s="12">
        <v>562</v>
      </c>
      <c r="D31" s="8">
        <v>3.54</v>
      </c>
      <c r="E31" s="12">
        <v>383</v>
      </c>
      <c r="F31" s="8">
        <v>7.11</v>
      </c>
      <c r="G31" s="12">
        <v>179</v>
      </c>
      <c r="H31" s="8">
        <v>1.71</v>
      </c>
      <c r="I31" s="12">
        <v>0</v>
      </c>
    </row>
    <row r="32" spans="2:9" ht="15" customHeight="1" x14ac:dyDescent="0.2">
      <c r="B32" t="s">
        <v>109</v>
      </c>
      <c r="C32" s="12">
        <v>557</v>
      </c>
      <c r="D32" s="8">
        <v>3.51</v>
      </c>
      <c r="E32" s="12">
        <v>30</v>
      </c>
      <c r="F32" s="8">
        <v>0.56000000000000005</v>
      </c>
      <c r="G32" s="12">
        <v>527</v>
      </c>
      <c r="H32" s="8">
        <v>5.05</v>
      </c>
      <c r="I32" s="12">
        <v>0</v>
      </c>
    </row>
    <row r="33" spans="2:9" ht="15" customHeight="1" x14ac:dyDescent="0.2">
      <c r="B33" t="s">
        <v>112</v>
      </c>
      <c r="C33" s="12">
        <v>474</v>
      </c>
      <c r="D33" s="8">
        <v>2.99</v>
      </c>
      <c r="E33" s="12">
        <v>168</v>
      </c>
      <c r="F33" s="8">
        <v>3.12</v>
      </c>
      <c r="G33" s="12">
        <v>303</v>
      </c>
      <c r="H33" s="8">
        <v>2.9</v>
      </c>
      <c r="I33" s="12">
        <v>3</v>
      </c>
    </row>
    <row r="34" spans="2:9" ht="15" customHeight="1" x14ac:dyDescent="0.2">
      <c r="B34" t="s">
        <v>119</v>
      </c>
      <c r="C34" s="12">
        <v>435</v>
      </c>
      <c r="D34" s="8">
        <v>2.74</v>
      </c>
      <c r="E34" s="12">
        <v>37</v>
      </c>
      <c r="F34" s="8">
        <v>0.69</v>
      </c>
      <c r="G34" s="12">
        <v>387</v>
      </c>
      <c r="H34" s="8">
        <v>3.71</v>
      </c>
      <c r="I34" s="12">
        <v>11</v>
      </c>
    </row>
    <row r="35" spans="2:9" ht="15" customHeight="1" x14ac:dyDescent="0.2">
      <c r="B35" t="s">
        <v>103</v>
      </c>
      <c r="C35" s="12">
        <v>401</v>
      </c>
      <c r="D35" s="8">
        <v>2.5299999999999998</v>
      </c>
      <c r="E35" s="12">
        <v>17</v>
      </c>
      <c r="F35" s="8">
        <v>0.32</v>
      </c>
      <c r="G35" s="12">
        <v>384</v>
      </c>
      <c r="H35" s="8">
        <v>3.68</v>
      </c>
      <c r="I35" s="12">
        <v>0</v>
      </c>
    </row>
    <row r="36" spans="2:9" ht="15" customHeight="1" x14ac:dyDescent="0.2">
      <c r="B36" t="s">
        <v>102</v>
      </c>
      <c r="C36" s="12">
        <v>347</v>
      </c>
      <c r="D36" s="8">
        <v>2.19</v>
      </c>
      <c r="E36" s="12">
        <v>6</v>
      </c>
      <c r="F36" s="8">
        <v>0.11</v>
      </c>
      <c r="G36" s="12">
        <v>341</v>
      </c>
      <c r="H36" s="8">
        <v>3.27</v>
      </c>
      <c r="I36" s="12">
        <v>0</v>
      </c>
    </row>
    <row r="37" spans="2:9" ht="15" customHeight="1" x14ac:dyDescent="0.2">
      <c r="B37" t="s">
        <v>116</v>
      </c>
      <c r="C37" s="12">
        <v>336</v>
      </c>
      <c r="D37" s="8">
        <v>2.12</v>
      </c>
      <c r="E37" s="12">
        <v>262</v>
      </c>
      <c r="F37" s="8">
        <v>4.87</v>
      </c>
      <c r="G37" s="12">
        <v>73</v>
      </c>
      <c r="H37" s="8">
        <v>0.7</v>
      </c>
      <c r="I37" s="12">
        <v>1</v>
      </c>
    </row>
    <row r="38" spans="2:9" ht="15" customHeight="1" x14ac:dyDescent="0.2">
      <c r="B38" t="s">
        <v>125</v>
      </c>
      <c r="C38" s="12">
        <v>306</v>
      </c>
      <c r="D38" s="8">
        <v>1.93</v>
      </c>
      <c r="E38" s="12">
        <v>10</v>
      </c>
      <c r="F38" s="8">
        <v>0.19</v>
      </c>
      <c r="G38" s="12">
        <v>295</v>
      </c>
      <c r="H38" s="8">
        <v>2.82</v>
      </c>
      <c r="I38" s="12">
        <v>1</v>
      </c>
    </row>
    <row r="39" spans="2:9" ht="15" customHeight="1" x14ac:dyDescent="0.2">
      <c r="B39" t="s">
        <v>115</v>
      </c>
      <c r="C39" s="12">
        <v>298</v>
      </c>
      <c r="D39" s="8">
        <v>1.88</v>
      </c>
      <c r="E39" s="12">
        <v>140</v>
      </c>
      <c r="F39" s="8">
        <v>2.6</v>
      </c>
      <c r="G39" s="12">
        <v>152</v>
      </c>
      <c r="H39" s="8">
        <v>1.46</v>
      </c>
      <c r="I39" s="12">
        <v>3</v>
      </c>
    </row>
    <row r="40" spans="2:9" ht="15" customHeight="1" x14ac:dyDescent="0.2">
      <c r="B40" t="s">
        <v>106</v>
      </c>
      <c r="C40" s="12">
        <v>278</v>
      </c>
      <c r="D40" s="8">
        <v>1.75</v>
      </c>
      <c r="E40" s="12">
        <v>131</v>
      </c>
      <c r="F40" s="8">
        <v>2.4300000000000002</v>
      </c>
      <c r="G40" s="12">
        <v>147</v>
      </c>
      <c r="H40" s="8">
        <v>1.41</v>
      </c>
      <c r="I40" s="12">
        <v>0</v>
      </c>
    </row>
    <row r="41" spans="2:9" ht="15" customHeight="1" x14ac:dyDescent="0.2">
      <c r="B41" t="s">
        <v>135</v>
      </c>
      <c r="C41" s="12">
        <v>241</v>
      </c>
      <c r="D41" s="8">
        <v>1.52</v>
      </c>
      <c r="E41" s="12">
        <v>19</v>
      </c>
      <c r="F41" s="8">
        <v>0.35</v>
      </c>
      <c r="G41" s="12">
        <v>222</v>
      </c>
      <c r="H41" s="8">
        <v>2.13</v>
      </c>
      <c r="I41" s="12">
        <v>0</v>
      </c>
    </row>
    <row r="42" spans="2:9" ht="15" customHeight="1" x14ac:dyDescent="0.2">
      <c r="B42" t="s">
        <v>98</v>
      </c>
      <c r="C42" s="12">
        <v>239</v>
      </c>
      <c r="D42" s="8">
        <v>1.51</v>
      </c>
      <c r="E42" s="12">
        <v>2</v>
      </c>
      <c r="F42" s="8">
        <v>0.04</v>
      </c>
      <c r="G42" s="12">
        <v>237</v>
      </c>
      <c r="H42" s="8">
        <v>2.27</v>
      </c>
      <c r="I42" s="12">
        <v>0</v>
      </c>
    </row>
    <row r="43" spans="2:9" ht="15" customHeight="1" x14ac:dyDescent="0.2">
      <c r="B43" t="s">
        <v>130</v>
      </c>
      <c r="C43" s="12">
        <v>200</v>
      </c>
      <c r="D43" s="8">
        <v>1.26</v>
      </c>
      <c r="E43" s="12">
        <v>53</v>
      </c>
      <c r="F43" s="8">
        <v>0.98</v>
      </c>
      <c r="G43" s="12">
        <v>147</v>
      </c>
      <c r="H43" s="8">
        <v>1.41</v>
      </c>
      <c r="I43" s="12">
        <v>0</v>
      </c>
    </row>
    <row r="46" spans="2:9" ht="33" customHeight="1" x14ac:dyDescent="0.2">
      <c r="B46" t="s">
        <v>273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163</v>
      </c>
      <c r="C47" s="12">
        <v>777</v>
      </c>
      <c r="D47" s="8">
        <v>4.9000000000000004</v>
      </c>
      <c r="E47" s="12">
        <v>723</v>
      </c>
      <c r="F47" s="8">
        <v>13.43</v>
      </c>
      <c r="G47" s="12">
        <v>54</v>
      </c>
      <c r="H47" s="8">
        <v>0.52</v>
      </c>
      <c r="I47" s="12">
        <v>0</v>
      </c>
    </row>
    <row r="48" spans="2:9" ht="15" customHeight="1" x14ac:dyDescent="0.2">
      <c r="B48" t="s">
        <v>164</v>
      </c>
      <c r="C48" s="12">
        <v>607</v>
      </c>
      <c r="D48" s="8">
        <v>3.83</v>
      </c>
      <c r="E48" s="12">
        <v>399</v>
      </c>
      <c r="F48" s="8">
        <v>7.41</v>
      </c>
      <c r="G48" s="12">
        <v>208</v>
      </c>
      <c r="H48" s="8">
        <v>1.99</v>
      </c>
      <c r="I48" s="12">
        <v>0</v>
      </c>
    </row>
    <row r="49" spans="2:9" ht="15" customHeight="1" x14ac:dyDescent="0.2">
      <c r="B49" t="s">
        <v>160</v>
      </c>
      <c r="C49" s="12">
        <v>544</v>
      </c>
      <c r="D49" s="8">
        <v>3.43</v>
      </c>
      <c r="E49" s="12">
        <v>54</v>
      </c>
      <c r="F49" s="8">
        <v>1</v>
      </c>
      <c r="G49" s="12">
        <v>490</v>
      </c>
      <c r="H49" s="8">
        <v>4.6900000000000004</v>
      </c>
      <c r="I49" s="12">
        <v>0</v>
      </c>
    </row>
    <row r="50" spans="2:9" ht="15" customHeight="1" x14ac:dyDescent="0.2">
      <c r="B50" t="s">
        <v>166</v>
      </c>
      <c r="C50" s="12">
        <v>504</v>
      </c>
      <c r="D50" s="8">
        <v>3.18</v>
      </c>
      <c r="E50" s="12">
        <v>473</v>
      </c>
      <c r="F50" s="8">
        <v>8.7899999999999991</v>
      </c>
      <c r="G50" s="12">
        <v>31</v>
      </c>
      <c r="H50" s="8">
        <v>0.3</v>
      </c>
      <c r="I50" s="12">
        <v>0</v>
      </c>
    </row>
    <row r="51" spans="2:9" ht="15" customHeight="1" x14ac:dyDescent="0.2">
      <c r="B51" t="s">
        <v>159</v>
      </c>
      <c r="C51" s="12">
        <v>493</v>
      </c>
      <c r="D51" s="8">
        <v>3.11</v>
      </c>
      <c r="E51" s="12">
        <v>63</v>
      </c>
      <c r="F51" s="8">
        <v>1.17</v>
      </c>
      <c r="G51" s="12">
        <v>429</v>
      </c>
      <c r="H51" s="8">
        <v>4.1100000000000003</v>
      </c>
      <c r="I51" s="12">
        <v>1</v>
      </c>
    </row>
    <row r="52" spans="2:9" ht="15" customHeight="1" x14ac:dyDescent="0.2">
      <c r="B52" t="s">
        <v>165</v>
      </c>
      <c r="C52" s="12">
        <v>440</v>
      </c>
      <c r="D52" s="8">
        <v>2.77</v>
      </c>
      <c r="E52" s="12">
        <v>363</v>
      </c>
      <c r="F52" s="8">
        <v>6.74</v>
      </c>
      <c r="G52" s="12">
        <v>77</v>
      </c>
      <c r="H52" s="8">
        <v>0.74</v>
      </c>
      <c r="I52" s="12">
        <v>0</v>
      </c>
    </row>
    <row r="53" spans="2:9" ht="15" customHeight="1" x14ac:dyDescent="0.2">
      <c r="B53" t="s">
        <v>221</v>
      </c>
      <c r="C53" s="12">
        <v>414</v>
      </c>
      <c r="D53" s="8">
        <v>2.61</v>
      </c>
      <c r="E53" s="12">
        <v>57</v>
      </c>
      <c r="F53" s="8">
        <v>1.06</v>
      </c>
      <c r="G53" s="12">
        <v>357</v>
      </c>
      <c r="H53" s="8">
        <v>3.42</v>
      </c>
      <c r="I53" s="12">
        <v>0</v>
      </c>
    </row>
    <row r="54" spans="2:9" ht="15" customHeight="1" x14ac:dyDescent="0.2">
      <c r="B54" t="s">
        <v>158</v>
      </c>
      <c r="C54" s="12">
        <v>407</v>
      </c>
      <c r="D54" s="8">
        <v>2.56</v>
      </c>
      <c r="E54" s="12">
        <v>29</v>
      </c>
      <c r="F54" s="8">
        <v>0.54</v>
      </c>
      <c r="G54" s="12">
        <v>378</v>
      </c>
      <c r="H54" s="8">
        <v>3.62</v>
      </c>
      <c r="I54" s="12">
        <v>0</v>
      </c>
    </row>
    <row r="55" spans="2:9" ht="15" customHeight="1" x14ac:dyDescent="0.2">
      <c r="B55" t="s">
        <v>172</v>
      </c>
      <c r="C55" s="12">
        <v>380</v>
      </c>
      <c r="D55" s="8">
        <v>2.39</v>
      </c>
      <c r="E55" s="12">
        <v>131</v>
      </c>
      <c r="F55" s="8">
        <v>2.4300000000000002</v>
      </c>
      <c r="G55" s="12">
        <v>248</v>
      </c>
      <c r="H55" s="8">
        <v>2.37</v>
      </c>
      <c r="I55" s="12">
        <v>1</v>
      </c>
    </row>
    <row r="56" spans="2:9" ht="15" customHeight="1" x14ac:dyDescent="0.2">
      <c r="B56" t="s">
        <v>189</v>
      </c>
      <c r="C56" s="12">
        <v>359</v>
      </c>
      <c r="D56" s="8">
        <v>2.2599999999999998</v>
      </c>
      <c r="E56" s="12">
        <v>30</v>
      </c>
      <c r="F56" s="8">
        <v>0.56000000000000005</v>
      </c>
      <c r="G56" s="12">
        <v>328</v>
      </c>
      <c r="H56" s="8">
        <v>3.14</v>
      </c>
      <c r="I56" s="12">
        <v>1</v>
      </c>
    </row>
    <row r="57" spans="2:9" ht="15" customHeight="1" x14ac:dyDescent="0.2">
      <c r="B57" t="s">
        <v>188</v>
      </c>
      <c r="C57" s="12">
        <v>353</v>
      </c>
      <c r="D57" s="8">
        <v>2.2200000000000002</v>
      </c>
      <c r="E57" s="12">
        <v>13</v>
      </c>
      <c r="F57" s="8">
        <v>0.24</v>
      </c>
      <c r="G57" s="12">
        <v>337</v>
      </c>
      <c r="H57" s="8">
        <v>3.23</v>
      </c>
      <c r="I57" s="12">
        <v>3</v>
      </c>
    </row>
    <row r="58" spans="2:9" ht="15" customHeight="1" x14ac:dyDescent="0.2">
      <c r="B58" t="s">
        <v>154</v>
      </c>
      <c r="C58" s="12">
        <v>334</v>
      </c>
      <c r="D58" s="8">
        <v>2.1</v>
      </c>
      <c r="E58" s="12">
        <v>27</v>
      </c>
      <c r="F58" s="8">
        <v>0.5</v>
      </c>
      <c r="G58" s="12">
        <v>307</v>
      </c>
      <c r="H58" s="8">
        <v>2.94</v>
      </c>
      <c r="I58" s="12">
        <v>0</v>
      </c>
    </row>
    <row r="59" spans="2:9" ht="15" customHeight="1" x14ac:dyDescent="0.2">
      <c r="B59" t="s">
        <v>173</v>
      </c>
      <c r="C59" s="12">
        <v>291</v>
      </c>
      <c r="D59" s="8">
        <v>1.83</v>
      </c>
      <c r="E59" s="12">
        <v>24</v>
      </c>
      <c r="F59" s="8">
        <v>0.45</v>
      </c>
      <c r="G59" s="12">
        <v>257</v>
      </c>
      <c r="H59" s="8">
        <v>2.46</v>
      </c>
      <c r="I59" s="12">
        <v>10</v>
      </c>
    </row>
    <row r="60" spans="2:9" ht="15" customHeight="1" x14ac:dyDescent="0.2">
      <c r="B60" t="s">
        <v>169</v>
      </c>
      <c r="C60" s="12">
        <v>287</v>
      </c>
      <c r="D60" s="8">
        <v>1.81</v>
      </c>
      <c r="E60" s="12">
        <v>222</v>
      </c>
      <c r="F60" s="8">
        <v>4.12</v>
      </c>
      <c r="G60" s="12">
        <v>65</v>
      </c>
      <c r="H60" s="8">
        <v>0.62</v>
      </c>
      <c r="I60" s="12">
        <v>0</v>
      </c>
    </row>
    <row r="61" spans="2:9" ht="15" customHeight="1" x14ac:dyDescent="0.2">
      <c r="B61" t="s">
        <v>157</v>
      </c>
      <c r="C61" s="12">
        <v>283</v>
      </c>
      <c r="D61" s="8">
        <v>1.78</v>
      </c>
      <c r="E61" s="12">
        <v>127</v>
      </c>
      <c r="F61" s="8">
        <v>2.36</v>
      </c>
      <c r="G61" s="12">
        <v>156</v>
      </c>
      <c r="H61" s="8">
        <v>1.49</v>
      </c>
      <c r="I61" s="12">
        <v>0</v>
      </c>
    </row>
    <row r="62" spans="2:9" ht="15" customHeight="1" x14ac:dyDescent="0.2">
      <c r="B62" t="s">
        <v>155</v>
      </c>
      <c r="C62" s="12">
        <v>276</v>
      </c>
      <c r="D62" s="8">
        <v>1.74</v>
      </c>
      <c r="E62" s="12">
        <v>75</v>
      </c>
      <c r="F62" s="8">
        <v>1.39</v>
      </c>
      <c r="G62" s="12">
        <v>201</v>
      </c>
      <c r="H62" s="8">
        <v>1.92</v>
      </c>
      <c r="I62" s="12">
        <v>0</v>
      </c>
    </row>
    <row r="63" spans="2:9" ht="15" customHeight="1" x14ac:dyDescent="0.2">
      <c r="B63" t="s">
        <v>220</v>
      </c>
      <c r="C63" s="12">
        <v>275</v>
      </c>
      <c r="D63" s="8">
        <v>1.73</v>
      </c>
      <c r="E63" s="12">
        <v>53</v>
      </c>
      <c r="F63" s="8">
        <v>0.98</v>
      </c>
      <c r="G63" s="12">
        <v>222</v>
      </c>
      <c r="H63" s="8">
        <v>2.13</v>
      </c>
      <c r="I63" s="12">
        <v>0</v>
      </c>
    </row>
    <row r="64" spans="2:9" ht="15" customHeight="1" x14ac:dyDescent="0.2">
      <c r="B64" t="s">
        <v>185</v>
      </c>
      <c r="C64" s="12">
        <v>239</v>
      </c>
      <c r="D64" s="8">
        <v>1.51</v>
      </c>
      <c r="E64" s="12">
        <v>9</v>
      </c>
      <c r="F64" s="8">
        <v>0.17</v>
      </c>
      <c r="G64" s="12">
        <v>229</v>
      </c>
      <c r="H64" s="8">
        <v>2.19</v>
      </c>
      <c r="I64" s="12">
        <v>1</v>
      </c>
    </row>
    <row r="65" spans="2:9" ht="15" customHeight="1" x14ac:dyDescent="0.2">
      <c r="B65" t="s">
        <v>219</v>
      </c>
      <c r="C65" s="12">
        <v>238</v>
      </c>
      <c r="D65" s="8">
        <v>1.5</v>
      </c>
      <c r="E65" s="12">
        <v>224</v>
      </c>
      <c r="F65" s="8">
        <v>4.16</v>
      </c>
      <c r="G65" s="12">
        <v>14</v>
      </c>
      <c r="H65" s="8">
        <v>0.13</v>
      </c>
      <c r="I65" s="12">
        <v>0</v>
      </c>
    </row>
    <row r="66" spans="2:9" ht="15" customHeight="1" x14ac:dyDescent="0.2">
      <c r="B66" t="s">
        <v>167</v>
      </c>
      <c r="C66" s="12">
        <v>231</v>
      </c>
      <c r="D66" s="8">
        <v>1.46</v>
      </c>
      <c r="E66" s="12">
        <v>184</v>
      </c>
      <c r="F66" s="8">
        <v>3.42</v>
      </c>
      <c r="G66" s="12">
        <v>47</v>
      </c>
      <c r="H66" s="8">
        <v>0.45</v>
      </c>
      <c r="I66" s="12">
        <v>0</v>
      </c>
    </row>
    <row r="68" spans="2:9" ht="15" customHeight="1" x14ac:dyDescent="0.2">
      <c r="B68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8F905-697C-4373-AA8E-9DEC36E9C765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300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2044</v>
      </c>
      <c r="D6" s="8">
        <v>13.64</v>
      </c>
      <c r="E6" s="12">
        <v>395</v>
      </c>
      <c r="F6" s="8">
        <v>5.38</v>
      </c>
      <c r="G6" s="12">
        <v>1649</v>
      </c>
      <c r="H6" s="8">
        <v>21.67</v>
      </c>
      <c r="I6" s="12">
        <v>0</v>
      </c>
    </row>
    <row r="7" spans="2:9" ht="15" customHeight="1" x14ac:dyDescent="0.2">
      <c r="B7" t="s">
        <v>77</v>
      </c>
      <c r="C7" s="12">
        <v>1714</v>
      </c>
      <c r="D7" s="8">
        <v>11.44</v>
      </c>
      <c r="E7" s="12">
        <v>575</v>
      </c>
      <c r="F7" s="8">
        <v>7.83</v>
      </c>
      <c r="G7" s="12">
        <v>1139</v>
      </c>
      <c r="H7" s="8">
        <v>14.97</v>
      </c>
      <c r="I7" s="12">
        <v>0</v>
      </c>
    </row>
    <row r="8" spans="2:9" ht="15" customHeight="1" x14ac:dyDescent="0.2">
      <c r="B8" t="s">
        <v>78</v>
      </c>
      <c r="C8" s="12">
        <v>9</v>
      </c>
      <c r="D8" s="8">
        <v>0.06</v>
      </c>
      <c r="E8" s="12">
        <v>0</v>
      </c>
      <c r="F8" s="8">
        <v>0</v>
      </c>
      <c r="G8" s="12">
        <v>9</v>
      </c>
      <c r="H8" s="8">
        <v>0.12</v>
      </c>
      <c r="I8" s="12">
        <v>0</v>
      </c>
    </row>
    <row r="9" spans="2:9" ht="15" customHeight="1" x14ac:dyDescent="0.2">
      <c r="B9" t="s">
        <v>79</v>
      </c>
      <c r="C9" s="12">
        <v>110</v>
      </c>
      <c r="D9" s="8">
        <v>0.73</v>
      </c>
      <c r="E9" s="12">
        <v>6</v>
      </c>
      <c r="F9" s="8">
        <v>0.08</v>
      </c>
      <c r="G9" s="12">
        <v>104</v>
      </c>
      <c r="H9" s="8">
        <v>1.37</v>
      </c>
      <c r="I9" s="12">
        <v>0</v>
      </c>
    </row>
    <row r="10" spans="2:9" ht="15" customHeight="1" x14ac:dyDescent="0.2">
      <c r="B10" t="s">
        <v>80</v>
      </c>
      <c r="C10" s="12">
        <v>264</v>
      </c>
      <c r="D10" s="8">
        <v>1.76</v>
      </c>
      <c r="E10" s="12">
        <v>127</v>
      </c>
      <c r="F10" s="8">
        <v>1.73</v>
      </c>
      <c r="G10" s="12">
        <v>136</v>
      </c>
      <c r="H10" s="8">
        <v>1.79</v>
      </c>
      <c r="I10" s="12">
        <v>0</v>
      </c>
    </row>
    <row r="11" spans="2:9" ht="15" customHeight="1" x14ac:dyDescent="0.2">
      <c r="B11" t="s">
        <v>81</v>
      </c>
      <c r="C11" s="12">
        <v>2957</v>
      </c>
      <c r="D11" s="8">
        <v>19.73</v>
      </c>
      <c r="E11" s="12">
        <v>1460</v>
      </c>
      <c r="F11" s="8">
        <v>19.87</v>
      </c>
      <c r="G11" s="12">
        <v>1496</v>
      </c>
      <c r="H11" s="8">
        <v>19.66</v>
      </c>
      <c r="I11" s="12">
        <v>1</v>
      </c>
    </row>
    <row r="12" spans="2:9" ht="15" customHeight="1" x14ac:dyDescent="0.2">
      <c r="B12" t="s">
        <v>82</v>
      </c>
      <c r="C12" s="12">
        <v>88</v>
      </c>
      <c r="D12" s="8">
        <v>0.59</v>
      </c>
      <c r="E12" s="12">
        <v>13</v>
      </c>
      <c r="F12" s="8">
        <v>0.18</v>
      </c>
      <c r="G12" s="12">
        <v>75</v>
      </c>
      <c r="H12" s="8">
        <v>0.99</v>
      </c>
      <c r="I12" s="12">
        <v>0</v>
      </c>
    </row>
    <row r="13" spans="2:9" ht="15" customHeight="1" x14ac:dyDescent="0.2">
      <c r="B13" t="s">
        <v>83</v>
      </c>
      <c r="C13" s="12">
        <v>1794</v>
      </c>
      <c r="D13" s="8">
        <v>11.97</v>
      </c>
      <c r="E13" s="12">
        <v>431</v>
      </c>
      <c r="F13" s="8">
        <v>5.87</v>
      </c>
      <c r="G13" s="12">
        <v>1361</v>
      </c>
      <c r="H13" s="8">
        <v>17.88</v>
      </c>
      <c r="I13" s="12">
        <v>1</v>
      </c>
    </row>
    <row r="14" spans="2:9" ht="15" customHeight="1" x14ac:dyDescent="0.2">
      <c r="B14" t="s">
        <v>84</v>
      </c>
      <c r="C14" s="12">
        <v>683</v>
      </c>
      <c r="D14" s="8">
        <v>4.5599999999999996</v>
      </c>
      <c r="E14" s="12">
        <v>351</v>
      </c>
      <c r="F14" s="8">
        <v>4.78</v>
      </c>
      <c r="G14" s="12">
        <v>326</v>
      </c>
      <c r="H14" s="8">
        <v>4.28</v>
      </c>
      <c r="I14" s="12">
        <v>4</v>
      </c>
    </row>
    <row r="15" spans="2:9" ht="15" customHeight="1" x14ac:dyDescent="0.2">
      <c r="B15" t="s">
        <v>85</v>
      </c>
      <c r="C15" s="12">
        <v>1756</v>
      </c>
      <c r="D15" s="8">
        <v>11.72</v>
      </c>
      <c r="E15" s="12">
        <v>1523</v>
      </c>
      <c r="F15" s="8">
        <v>20.73</v>
      </c>
      <c r="G15" s="12">
        <v>231</v>
      </c>
      <c r="H15" s="8">
        <v>3.04</v>
      </c>
      <c r="I15" s="12">
        <v>1</v>
      </c>
    </row>
    <row r="16" spans="2:9" ht="15" customHeight="1" x14ac:dyDescent="0.2">
      <c r="B16" t="s">
        <v>86</v>
      </c>
      <c r="C16" s="12">
        <v>1659</v>
      </c>
      <c r="D16" s="8">
        <v>11.07</v>
      </c>
      <c r="E16" s="12">
        <v>1333</v>
      </c>
      <c r="F16" s="8">
        <v>18.14</v>
      </c>
      <c r="G16" s="12">
        <v>325</v>
      </c>
      <c r="H16" s="8">
        <v>4.2699999999999996</v>
      </c>
      <c r="I16" s="12">
        <v>1</v>
      </c>
    </row>
    <row r="17" spans="2:9" ht="15" customHeight="1" x14ac:dyDescent="0.2">
      <c r="B17" t="s">
        <v>87</v>
      </c>
      <c r="C17" s="12">
        <v>499</v>
      </c>
      <c r="D17" s="8">
        <v>3.33</v>
      </c>
      <c r="E17" s="12">
        <v>366</v>
      </c>
      <c r="F17" s="8">
        <v>4.9800000000000004</v>
      </c>
      <c r="G17" s="12">
        <v>130</v>
      </c>
      <c r="H17" s="8">
        <v>1.71</v>
      </c>
      <c r="I17" s="12">
        <v>1</v>
      </c>
    </row>
    <row r="18" spans="2:9" ht="15" customHeight="1" x14ac:dyDescent="0.2">
      <c r="B18" t="s">
        <v>88</v>
      </c>
      <c r="C18" s="12">
        <v>916</v>
      </c>
      <c r="D18" s="8">
        <v>6.11</v>
      </c>
      <c r="E18" s="12">
        <v>577</v>
      </c>
      <c r="F18" s="8">
        <v>7.85</v>
      </c>
      <c r="G18" s="12">
        <v>333</v>
      </c>
      <c r="H18" s="8">
        <v>4.38</v>
      </c>
      <c r="I18" s="12">
        <v>1</v>
      </c>
    </row>
    <row r="19" spans="2:9" ht="15" customHeight="1" x14ac:dyDescent="0.2">
      <c r="B19" t="s">
        <v>89</v>
      </c>
      <c r="C19" s="12">
        <v>493</v>
      </c>
      <c r="D19" s="8">
        <v>3.29</v>
      </c>
      <c r="E19" s="12">
        <v>190</v>
      </c>
      <c r="F19" s="8">
        <v>2.59</v>
      </c>
      <c r="G19" s="12">
        <v>297</v>
      </c>
      <c r="H19" s="8">
        <v>3.9</v>
      </c>
      <c r="I19" s="12">
        <v>5</v>
      </c>
    </row>
    <row r="20" spans="2:9" ht="15" customHeight="1" x14ac:dyDescent="0.2">
      <c r="B20" s="9" t="s">
        <v>271</v>
      </c>
      <c r="C20" s="12">
        <f>SUM(LTBL_27140[総数／事業所数])</f>
        <v>14986</v>
      </c>
      <c r="E20" s="12">
        <f>SUBTOTAL(109,LTBL_27140[個人／事業所数])</f>
        <v>7347</v>
      </c>
      <c r="G20" s="12">
        <f>SUBTOTAL(109,LTBL_27140[法人／事業所数])</f>
        <v>7611</v>
      </c>
      <c r="I20" s="12">
        <f>SUBTOTAL(109,LTBL_27140[法人以外の団体／事業所数])</f>
        <v>15</v>
      </c>
    </row>
    <row r="21" spans="2:9" ht="15" customHeight="1" x14ac:dyDescent="0.2">
      <c r="E21" s="11">
        <f>LTBL_27140[[#Totals],[個人／事業所数]]/LTBL_27140[[#Totals],[総数／事業所数]]</f>
        <v>0.49025757373548645</v>
      </c>
      <c r="G21" s="11">
        <f>LTBL_27140[[#Totals],[法人／事業所数]]/LTBL_27140[[#Totals],[総数／事業所数]]</f>
        <v>0.50787401574803148</v>
      </c>
      <c r="I21" s="11">
        <f>LTBL_27140[[#Totals],[法人以外の団体／事業所数]]/LTBL_27140[[#Totals],[総数／事業所数]]</f>
        <v>1.0009342052582409E-3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113</v>
      </c>
      <c r="C24" s="12">
        <v>1610</v>
      </c>
      <c r="D24" s="8">
        <v>10.74</v>
      </c>
      <c r="E24" s="12">
        <v>1469</v>
      </c>
      <c r="F24" s="8">
        <v>19.989999999999998</v>
      </c>
      <c r="G24" s="12">
        <v>140</v>
      </c>
      <c r="H24" s="8">
        <v>1.84</v>
      </c>
      <c r="I24" s="12">
        <v>1</v>
      </c>
    </row>
    <row r="25" spans="2:9" ht="15" customHeight="1" x14ac:dyDescent="0.2">
      <c r="B25" t="s">
        <v>110</v>
      </c>
      <c r="C25" s="12">
        <v>1389</v>
      </c>
      <c r="D25" s="8">
        <v>9.27</v>
      </c>
      <c r="E25" s="12">
        <v>359</v>
      </c>
      <c r="F25" s="8">
        <v>4.8899999999999997</v>
      </c>
      <c r="G25" s="12">
        <v>1028</v>
      </c>
      <c r="H25" s="8">
        <v>13.51</v>
      </c>
      <c r="I25" s="12">
        <v>1</v>
      </c>
    </row>
    <row r="26" spans="2:9" ht="15" customHeight="1" x14ac:dyDescent="0.2">
      <c r="B26" t="s">
        <v>114</v>
      </c>
      <c r="C26" s="12">
        <v>1380</v>
      </c>
      <c r="D26" s="8">
        <v>9.2100000000000009</v>
      </c>
      <c r="E26" s="12">
        <v>1196</v>
      </c>
      <c r="F26" s="8">
        <v>16.28</v>
      </c>
      <c r="G26" s="12">
        <v>184</v>
      </c>
      <c r="H26" s="8">
        <v>2.42</v>
      </c>
      <c r="I26" s="12">
        <v>0</v>
      </c>
    </row>
    <row r="27" spans="2:9" ht="15" customHeight="1" x14ac:dyDescent="0.2">
      <c r="B27" t="s">
        <v>98</v>
      </c>
      <c r="C27" s="12">
        <v>814</v>
      </c>
      <c r="D27" s="8">
        <v>5.43</v>
      </c>
      <c r="E27" s="12">
        <v>132</v>
      </c>
      <c r="F27" s="8">
        <v>1.8</v>
      </c>
      <c r="G27" s="12">
        <v>682</v>
      </c>
      <c r="H27" s="8">
        <v>8.9600000000000009</v>
      </c>
      <c r="I27" s="12">
        <v>0</v>
      </c>
    </row>
    <row r="28" spans="2:9" ht="15" customHeight="1" x14ac:dyDescent="0.2">
      <c r="B28" t="s">
        <v>108</v>
      </c>
      <c r="C28" s="12">
        <v>785</v>
      </c>
      <c r="D28" s="8">
        <v>5.24</v>
      </c>
      <c r="E28" s="12">
        <v>474</v>
      </c>
      <c r="F28" s="8">
        <v>6.45</v>
      </c>
      <c r="G28" s="12">
        <v>310</v>
      </c>
      <c r="H28" s="8">
        <v>4.07</v>
      </c>
      <c r="I28" s="12">
        <v>1</v>
      </c>
    </row>
    <row r="29" spans="2:9" ht="15" customHeight="1" x14ac:dyDescent="0.2">
      <c r="B29" t="s">
        <v>116</v>
      </c>
      <c r="C29" s="12">
        <v>673</v>
      </c>
      <c r="D29" s="8">
        <v>4.49</v>
      </c>
      <c r="E29" s="12">
        <v>574</v>
      </c>
      <c r="F29" s="8">
        <v>7.81</v>
      </c>
      <c r="G29" s="12">
        <v>99</v>
      </c>
      <c r="H29" s="8">
        <v>1.3</v>
      </c>
      <c r="I29" s="12">
        <v>0</v>
      </c>
    </row>
    <row r="30" spans="2:9" ht="15" customHeight="1" x14ac:dyDescent="0.2">
      <c r="B30" t="s">
        <v>99</v>
      </c>
      <c r="C30" s="12">
        <v>616</v>
      </c>
      <c r="D30" s="8">
        <v>4.1100000000000003</v>
      </c>
      <c r="E30" s="12">
        <v>149</v>
      </c>
      <c r="F30" s="8">
        <v>2.0299999999999998</v>
      </c>
      <c r="G30" s="12">
        <v>467</v>
      </c>
      <c r="H30" s="8">
        <v>6.14</v>
      </c>
      <c r="I30" s="12">
        <v>0</v>
      </c>
    </row>
    <row r="31" spans="2:9" ht="15" customHeight="1" x14ac:dyDescent="0.2">
      <c r="B31" t="s">
        <v>100</v>
      </c>
      <c r="C31" s="12">
        <v>614</v>
      </c>
      <c r="D31" s="8">
        <v>4.0999999999999996</v>
      </c>
      <c r="E31" s="12">
        <v>114</v>
      </c>
      <c r="F31" s="8">
        <v>1.55</v>
      </c>
      <c r="G31" s="12">
        <v>500</v>
      </c>
      <c r="H31" s="8">
        <v>6.57</v>
      </c>
      <c r="I31" s="12">
        <v>0</v>
      </c>
    </row>
    <row r="32" spans="2:9" ht="15" customHeight="1" x14ac:dyDescent="0.2">
      <c r="B32" t="s">
        <v>115</v>
      </c>
      <c r="C32" s="12">
        <v>499</v>
      </c>
      <c r="D32" s="8">
        <v>3.33</v>
      </c>
      <c r="E32" s="12">
        <v>366</v>
      </c>
      <c r="F32" s="8">
        <v>4.9800000000000004</v>
      </c>
      <c r="G32" s="12">
        <v>130</v>
      </c>
      <c r="H32" s="8">
        <v>1.71</v>
      </c>
      <c r="I32" s="12">
        <v>1</v>
      </c>
    </row>
    <row r="33" spans="2:9" ht="15" customHeight="1" x14ac:dyDescent="0.2">
      <c r="B33" t="s">
        <v>106</v>
      </c>
      <c r="C33" s="12">
        <v>496</v>
      </c>
      <c r="D33" s="8">
        <v>3.31</v>
      </c>
      <c r="E33" s="12">
        <v>369</v>
      </c>
      <c r="F33" s="8">
        <v>5.0199999999999996</v>
      </c>
      <c r="G33" s="12">
        <v>127</v>
      </c>
      <c r="H33" s="8">
        <v>1.67</v>
      </c>
      <c r="I33" s="12">
        <v>0</v>
      </c>
    </row>
    <row r="34" spans="2:9" ht="15" customHeight="1" x14ac:dyDescent="0.2">
      <c r="B34" t="s">
        <v>111</v>
      </c>
      <c r="C34" s="12">
        <v>440</v>
      </c>
      <c r="D34" s="8">
        <v>2.94</v>
      </c>
      <c r="E34" s="12">
        <v>260</v>
      </c>
      <c r="F34" s="8">
        <v>3.54</v>
      </c>
      <c r="G34" s="12">
        <v>177</v>
      </c>
      <c r="H34" s="8">
        <v>2.33</v>
      </c>
      <c r="I34" s="12">
        <v>3</v>
      </c>
    </row>
    <row r="35" spans="2:9" ht="15" customHeight="1" x14ac:dyDescent="0.2">
      <c r="B35" t="s">
        <v>107</v>
      </c>
      <c r="C35" s="12">
        <v>438</v>
      </c>
      <c r="D35" s="8">
        <v>2.92</v>
      </c>
      <c r="E35" s="12">
        <v>265</v>
      </c>
      <c r="F35" s="8">
        <v>3.61</v>
      </c>
      <c r="G35" s="12">
        <v>173</v>
      </c>
      <c r="H35" s="8">
        <v>2.27</v>
      </c>
      <c r="I35" s="12">
        <v>0</v>
      </c>
    </row>
    <row r="36" spans="2:9" ht="15" customHeight="1" x14ac:dyDescent="0.2">
      <c r="B36" t="s">
        <v>101</v>
      </c>
      <c r="C36" s="12">
        <v>392</v>
      </c>
      <c r="D36" s="8">
        <v>2.62</v>
      </c>
      <c r="E36" s="12">
        <v>139</v>
      </c>
      <c r="F36" s="8">
        <v>1.89</v>
      </c>
      <c r="G36" s="12">
        <v>253</v>
      </c>
      <c r="H36" s="8">
        <v>3.32</v>
      </c>
      <c r="I36" s="12">
        <v>0</v>
      </c>
    </row>
    <row r="37" spans="2:9" ht="15" customHeight="1" x14ac:dyDescent="0.2">
      <c r="B37" t="s">
        <v>109</v>
      </c>
      <c r="C37" s="12">
        <v>316</v>
      </c>
      <c r="D37" s="8">
        <v>2.11</v>
      </c>
      <c r="E37" s="12">
        <v>66</v>
      </c>
      <c r="F37" s="8">
        <v>0.9</v>
      </c>
      <c r="G37" s="12">
        <v>250</v>
      </c>
      <c r="H37" s="8">
        <v>3.28</v>
      </c>
      <c r="I37" s="12">
        <v>0</v>
      </c>
    </row>
    <row r="38" spans="2:9" ht="15" customHeight="1" x14ac:dyDescent="0.2">
      <c r="B38" t="s">
        <v>105</v>
      </c>
      <c r="C38" s="12">
        <v>306</v>
      </c>
      <c r="D38" s="8">
        <v>2.04</v>
      </c>
      <c r="E38" s="12">
        <v>168</v>
      </c>
      <c r="F38" s="8">
        <v>2.29</v>
      </c>
      <c r="G38" s="12">
        <v>138</v>
      </c>
      <c r="H38" s="8">
        <v>1.81</v>
      </c>
      <c r="I38" s="12">
        <v>0</v>
      </c>
    </row>
    <row r="39" spans="2:9" ht="15" customHeight="1" x14ac:dyDescent="0.2">
      <c r="B39" t="s">
        <v>117</v>
      </c>
      <c r="C39" s="12">
        <v>243</v>
      </c>
      <c r="D39" s="8">
        <v>1.62</v>
      </c>
      <c r="E39" s="12">
        <v>3</v>
      </c>
      <c r="F39" s="8">
        <v>0.04</v>
      </c>
      <c r="G39" s="12">
        <v>234</v>
      </c>
      <c r="H39" s="8">
        <v>3.07</v>
      </c>
      <c r="I39" s="12">
        <v>1</v>
      </c>
    </row>
    <row r="40" spans="2:9" ht="15" customHeight="1" x14ac:dyDescent="0.2">
      <c r="B40" t="s">
        <v>103</v>
      </c>
      <c r="C40" s="12">
        <v>227</v>
      </c>
      <c r="D40" s="8">
        <v>1.51</v>
      </c>
      <c r="E40" s="12">
        <v>32</v>
      </c>
      <c r="F40" s="8">
        <v>0.44</v>
      </c>
      <c r="G40" s="12">
        <v>195</v>
      </c>
      <c r="H40" s="8">
        <v>2.56</v>
      </c>
      <c r="I40" s="12">
        <v>0</v>
      </c>
    </row>
    <row r="41" spans="2:9" ht="15" customHeight="1" x14ac:dyDescent="0.2">
      <c r="B41" t="s">
        <v>112</v>
      </c>
      <c r="C41" s="12">
        <v>217</v>
      </c>
      <c r="D41" s="8">
        <v>1.45</v>
      </c>
      <c r="E41" s="12">
        <v>91</v>
      </c>
      <c r="F41" s="8">
        <v>1.24</v>
      </c>
      <c r="G41" s="12">
        <v>124</v>
      </c>
      <c r="H41" s="8">
        <v>1.63</v>
      </c>
      <c r="I41" s="12">
        <v>0</v>
      </c>
    </row>
    <row r="42" spans="2:9" ht="15" customHeight="1" x14ac:dyDescent="0.2">
      <c r="B42" t="s">
        <v>104</v>
      </c>
      <c r="C42" s="12">
        <v>216</v>
      </c>
      <c r="D42" s="8">
        <v>1.44</v>
      </c>
      <c r="E42" s="12">
        <v>57</v>
      </c>
      <c r="F42" s="8">
        <v>0.78</v>
      </c>
      <c r="G42" s="12">
        <v>159</v>
      </c>
      <c r="H42" s="8">
        <v>2.09</v>
      </c>
      <c r="I42" s="12">
        <v>0</v>
      </c>
    </row>
    <row r="43" spans="2:9" ht="15" customHeight="1" x14ac:dyDescent="0.2">
      <c r="B43" t="s">
        <v>102</v>
      </c>
      <c r="C43" s="12">
        <v>193</v>
      </c>
      <c r="D43" s="8">
        <v>1.29</v>
      </c>
      <c r="E43" s="12">
        <v>41</v>
      </c>
      <c r="F43" s="8">
        <v>0.56000000000000005</v>
      </c>
      <c r="G43" s="12">
        <v>152</v>
      </c>
      <c r="H43" s="8">
        <v>2</v>
      </c>
      <c r="I43" s="12">
        <v>0</v>
      </c>
    </row>
    <row r="46" spans="2:9" ht="33" customHeight="1" x14ac:dyDescent="0.2">
      <c r="B46" t="s">
        <v>273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169</v>
      </c>
      <c r="C47" s="12">
        <v>692</v>
      </c>
      <c r="D47" s="8">
        <v>4.62</v>
      </c>
      <c r="E47" s="12">
        <v>638</v>
      </c>
      <c r="F47" s="8">
        <v>8.68</v>
      </c>
      <c r="G47" s="12">
        <v>54</v>
      </c>
      <c r="H47" s="8">
        <v>0.71</v>
      </c>
      <c r="I47" s="12">
        <v>0</v>
      </c>
    </row>
    <row r="48" spans="2:9" ht="15" customHeight="1" x14ac:dyDescent="0.2">
      <c r="B48" t="s">
        <v>160</v>
      </c>
      <c r="C48" s="12">
        <v>547</v>
      </c>
      <c r="D48" s="8">
        <v>3.65</v>
      </c>
      <c r="E48" s="12">
        <v>127</v>
      </c>
      <c r="F48" s="8">
        <v>1.73</v>
      </c>
      <c r="G48" s="12">
        <v>420</v>
      </c>
      <c r="H48" s="8">
        <v>5.52</v>
      </c>
      <c r="I48" s="12">
        <v>0</v>
      </c>
    </row>
    <row r="49" spans="2:9" ht="15" customHeight="1" x14ac:dyDescent="0.2">
      <c r="B49" t="s">
        <v>171</v>
      </c>
      <c r="C49" s="12">
        <v>508</v>
      </c>
      <c r="D49" s="8">
        <v>3.39</v>
      </c>
      <c r="E49" s="12">
        <v>443</v>
      </c>
      <c r="F49" s="8">
        <v>6.03</v>
      </c>
      <c r="G49" s="12">
        <v>65</v>
      </c>
      <c r="H49" s="8">
        <v>0.85</v>
      </c>
      <c r="I49" s="12">
        <v>0</v>
      </c>
    </row>
    <row r="50" spans="2:9" ht="15" customHeight="1" x14ac:dyDescent="0.2">
      <c r="B50" t="s">
        <v>168</v>
      </c>
      <c r="C50" s="12">
        <v>413</v>
      </c>
      <c r="D50" s="8">
        <v>2.76</v>
      </c>
      <c r="E50" s="12">
        <v>400</v>
      </c>
      <c r="F50" s="8">
        <v>5.44</v>
      </c>
      <c r="G50" s="12">
        <v>13</v>
      </c>
      <c r="H50" s="8">
        <v>0.17</v>
      </c>
      <c r="I50" s="12">
        <v>0</v>
      </c>
    </row>
    <row r="51" spans="2:9" ht="15" customHeight="1" x14ac:dyDescent="0.2">
      <c r="B51" t="s">
        <v>165</v>
      </c>
      <c r="C51" s="12">
        <v>389</v>
      </c>
      <c r="D51" s="8">
        <v>2.6</v>
      </c>
      <c r="E51" s="12">
        <v>361</v>
      </c>
      <c r="F51" s="8">
        <v>4.91</v>
      </c>
      <c r="G51" s="12">
        <v>28</v>
      </c>
      <c r="H51" s="8">
        <v>0.37</v>
      </c>
      <c r="I51" s="12">
        <v>0</v>
      </c>
    </row>
    <row r="52" spans="2:9" ht="15" customHeight="1" x14ac:dyDescent="0.2">
      <c r="B52" t="s">
        <v>167</v>
      </c>
      <c r="C52" s="12">
        <v>382</v>
      </c>
      <c r="D52" s="8">
        <v>2.5499999999999998</v>
      </c>
      <c r="E52" s="12">
        <v>358</v>
      </c>
      <c r="F52" s="8">
        <v>4.87</v>
      </c>
      <c r="G52" s="12">
        <v>23</v>
      </c>
      <c r="H52" s="8">
        <v>0.3</v>
      </c>
      <c r="I52" s="12">
        <v>1</v>
      </c>
    </row>
    <row r="53" spans="2:9" ht="15" customHeight="1" x14ac:dyDescent="0.2">
      <c r="B53" t="s">
        <v>159</v>
      </c>
      <c r="C53" s="12">
        <v>366</v>
      </c>
      <c r="D53" s="8">
        <v>2.44</v>
      </c>
      <c r="E53" s="12">
        <v>57</v>
      </c>
      <c r="F53" s="8">
        <v>0.78</v>
      </c>
      <c r="G53" s="12">
        <v>308</v>
      </c>
      <c r="H53" s="8">
        <v>4.05</v>
      </c>
      <c r="I53" s="12">
        <v>0</v>
      </c>
    </row>
    <row r="54" spans="2:9" ht="15" customHeight="1" x14ac:dyDescent="0.2">
      <c r="B54" t="s">
        <v>170</v>
      </c>
      <c r="C54" s="12">
        <v>314</v>
      </c>
      <c r="D54" s="8">
        <v>2.1</v>
      </c>
      <c r="E54" s="12">
        <v>251</v>
      </c>
      <c r="F54" s="8">
        <v>3.42</v>
      </c>
      <c r="G54" s="12">
        <v>63</v>
      </c>
      <c r="H54" s="8">
        <v>0.83</v>
      </c>
      <c r="I54" s="12">
        <v>0</v>
      </c>
    </row>
    <row r="55" spans="2:9" ht="15" customHeight="1" x14ac:dyDescent="0.2">
      <c r="B55" t="s">
        <v>157</v>
      </c>
      <c r="C55" s="12">
        <v>295</v>
      </c>
      <c r="D55" s="8">
        <v>1.97</v>
      </c>
      <c r="E55" s="12">
        <v>212</v>
      </c>
      <c r="F55" s="8">
        <v>2.89</v>
      </c>
      <c r="G55" s="12">
        <v>82</v>
      </c>
      <c r="H55" s="8">
        <v>1.08</v>
      </c>
      <c r="I55" s="12">
        <v>1</v>
      </c>
    </row>
    <row r="56" spans="2:9" ht="15" customHeight="1" x14ac:dyDescent="0.2">
      <c r="B56" t="s">
        <v>164</v>
      </c>
      <c r="C56" s="12">
        <v>284</v>
      </c>
      <c r="D56" s="8">
        <v>1.9</v>
      </c>
      <c r="E56" s="12">
        <v>249</v>
      </c>
      <c r="F56" s="8">
        <v>3.39</v>
      </c>
      <c r="G56" s="12">
        <v>35</v>
      </c>
      <c r="H56" s="8">
        <v>0.46</v>
      </c>
      <c r="I56" s="12">
        <v>0</v>
      </c>
    </row>
    <row r="57" spans="2:9" ht="15" customHeight="1" x14ac:dyDescent="0.2">
      <c r="B57" t="s">
        <v>161</v>
      </c>
      <c r="C57" s="12">
        <v>259</v>
      </c>
      <c r="D57" s="8">
        <v>1.73</v>
      </c>
      <c r="E57" s="12">
        <v>168</v>
      </c>
      <c r="F57" s="8">
        <v>2.29</v>
      </c>
      <c r="G57" s="12">
        <v>91</v>
      </c>
      <c r="H57" s="8">
        <v>1.2</v>
      </c>
      <c r="I57" s="12">
        <v>0</v>
      </c>
    </row>
    <row r="58" spans="2:9" ht="15" customHeight="1" x14ac:dyDescent="0.2">
      <c r="B58" t="s">
        <v>215</v>
      </c>
      <c r="C58" s="12">
        <v>254</v>
      </c>
      <c r="D58" s="8">
        <v>1.69</v>
      </c>
      <c r="E58" s="12">
        <v>143</v>
      </c>
      <c r="F58" s="8">
        <v>1.95</v>
      </c>
      <c r="G58" s="12">
        <v>111</v>
      </c>
      <c r="H58" s="8">
        <v>1.46</v>
      </c>
      <c r="I58" s="12">
        <v>0</v>
      </c>
    </row>
    <row r="59" spans="2:9" ht="15" customHeight="1" x14ac:dyDescent="0.2">
      <c r="B59" t="s">
        <v>152</v>
      </c>
      <c r="C59" s="12">
        <v>252</v>
      </c>
      <c r="D59" s="8">
        <v>1.68</v>
      </c>
      <c r="E59" s="12">
        <v>36</v>
      </c>
      <c r="F59" s="8">
        <v>0.49</v>
      </c>
      <c r="G59" s="12">
        <v>216</v>
      </c>
      <c r="H59" s="8">
        <v>2.84</v>
      </c>
      <c r="I59" s="12">
        <v>0</v>
      </c>
    </row>
    <row r="60" spans="2:9" ht="15" customHeight="1" x14ac:dyDescent="0.2">
      <c r="B60" t="s">
        <v>153</v>
      </c>
      <c r="C60" s="12">
        <v>250</v>
      </c>
      <c r="D60" s="8">
        <v>1.67</v>
      </c>
      <c r="E60" s="12">
        <v>60</v>
      </c>
      <c r="F60" s="8">
        <v>0.82</v>
      </c>
      <c r="G60" s="12">
        <v>190</v>
      </c>
      <c r="H60" s="8">
        <v>2.5</v>
      </c>
      <c r="I60" s="12">
        <v>0</v>
      </c>
    </row>
    <row r="61" spans="2:9" ht="15" customHeight="1" x14ac:dyDescent="0.2">
      <c r="B61" t="s">
        <v>174</v>
      </c>
      <c r="C61" s="12">
        <v>223</v>
      </c>
      <c r="D61" s="8">
        <v>1.49</v>
      </c>
      <c r="E61" s="12">
        <v>39</v>
      </c>
      <c r="F61" s="8">
        <v>0.53</v>
      </c>
      <c r="G61" s="12">
        <v>184</v>
      </c>
      <c r="H61" s="8">
        <v>2.42</v>
      </c>
      <c r="I61" s="12">
        <v>0</v>
      </c>
    </row>
    <row r="62" spans="2:9" ht="15" customHeight="1" x14ac:dyDescent="0.2">
      <c r="B62" t="s">
        <v>158</v>
      </c>
      <c r="C62" s="12">
        <v>218</v>
      </c>
      <c r="D62" s="8">
        <v>1.45</v>
      </c>
      <c r="E62" s="12">
        <v>54</v>
      </c>
      <c r="F62" s="8">
        <v>0.73</v>
      </c>
      <c r="G62" s="12">
        <v>164</v>
      </c>
      <c r="H62" s="8">
        <v>2.15</v>
      </c>
      <c r="I62" s="12">
        <v>0</v>
      </c>
    </row>
    <row r="63" spans="2:9" ht="15" customHeight="1" x14ac:dyDescent="0.2">
      <c r="B63" t="s">
        <v>162</v>
      </c>
      <c r="C63" s="12">
        <v>217</v>
      </c>
      <c r="D63" s="8">
        <v>1.45</v>
      </c>
      <c r="E63" s="12">
        <v>7</v>
      </c>
      <c r="F63" s="8">
        <v>0.1</v>
      </c>
      <c r="G63" s="12">
        <v>209</v>
      </c>
      <c r="H63" s="8">
        <v>2.75</v>
      </c>
      <c r="I63" s="12">
        <v>1</v>
      </c>
    </row>
    <row r="64" spans="2:9" ht="15" customHeight="1" x14ac:dyDescent="0.2">
      <c r="B64" t="s">
        <v>166</v>
      </c>
      <c r="C64" s="12">
        <v>213</v>
      </c>
      <c r="D64" s="8">
        <v>1.42</v>
      </c>
      <c r="E64" s="12">
        <v>204</v>
      </c>
      <c r="F64" s="8">
        <v>2.78</v>
      </c>
      <c r="G64" s="12">
        <v>9</v>
      </c>
      <c r="H64" s="8">
        <v>0.12</v>
      </c>
      <c r="I64" s="12">
        <v>0</v>
      </c>
    </row>
    <row r="65" spans="2:9" ht="15" customHeight="1" x14ac:dyDescent="0.2">
      <c r="B65" t="s">
        <v>190</v>
      </c>
      <c r="C65" s="12">
        <v>211</v>
      </c>
      <c r="D65" s="8">
        <v>1.41</v>
      </c>
      <c r="E65" s="12">
        <v>31</v>
      </c>
      <c r="F65" s="8">
        <v>0.42</v>
      </c>
      <c r="G65" s="12">
        <v>180</v>
      </c>
      <c r="H65" s="8">
        <v>2.36</v>
      </c>
      <c r="I65" s="12">
        <v>0</v>
      </c>
    </row>
    <row r="66" spans="2:9" ht="15" customHeight="1" x14ac:dyDescent="0.2">
      <c r="B66" t="s">
        <v>198</v>
      </c>
      <c r="C66" s="12">
        <v>191</v>
      </c>
      <c r="D66" s="8">
        <v>1.27</v>
      </c>
      <c r="E66" s="12">
        <v>135</v>
      </c>
      <c r="F66" s="8">
        <v>1.84</v>
      </c>
      <c r="G66" s="12">
        <v>55</v>
      </c>
      <c r="H66" s="8">
        <v>0.72</v>
      </c>
      <c r="I66" s="12">
        <v>0</v>
      </c>
    </row>
    <row r="68" spans="2:9" ht="15" customHeight="1" x14ac:dyDescent="0.2">
      <c r="B68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0CBED-5CFB-4180-BF10-FEF6863B36D4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301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377</v>
      </c>
      <c r="D6" s="8">
        <v>9.39</v>
      </c>
      <c r="E6" s="12">
        <v>71</v>
      </c>
      <c r="F6" s="8">
        <v>3.5</v>
      </c>
      <c r="G6" s="12">
        <v>306</v>
      </c>
      <c r="H6" s="8">
        <v>15.51</v>
      </c>
      <c r="I6" s="12">
        <v>0</v>
      </c>
    </row>
    <row r="7" spans="2:9" ht="15" customHeight="1" x14ac:dyDescent="0.2">
      <c r="B7" t="s">
        <v>77</v>
      </c>
      <c r="C7" s="12">
        <v>446</v>
      </c>
      <c r="D7" s="8">
        <v>11.11</v>
      </c>
      <c r="E7" s="12">
        <v>141</v>
      </c>
      <c r="F7" s="8">
        <v>6.96</v>
      </c>
      <c r="G7" s="12">
        <v>305</v>
      </c>
      <c r="H7" s="8">
        <v>15.46</v>
      </c>
      <c r="I7" s="12">
        <v>0</v>
      </c>
    </row>
    <row r="8" spans="2:9" ht="15" customHeight="1" x14ac:dyDescent="0.2">
      <c r="B8" t="s">
        <v>78</v>
      </c>
      <c r="C8" s="12">
        <v>3</v>
      </c>
      <c r="D8" s="8">
        <v>7.0000000000000007E-2</v>
      </c>
      <c r="E8" s="12">
        <v>0</v>
      </c>
      <c r="F8" s="8">
        <v>0</v>
      </c>
      <c r="G8" s="12">
        <v>3</v>
      </c>
      <c r="H8" s="8">
        <v>0.15</v>
      </c>
      <c r="I8" s="12">
        <v>0</v>
      </c>
    </row>
    <row r="9" spans="2:9" ht="15" customHeight="1" x14ac:dyDescent="0.2">
      <c r="B9" t="s">
        <v>79</v>
      </c>
      <c r="C9" s="12">
        <v>32</v>
      </c>
      <c r="D9" s="8">
        <v>0.8</v>
      </c>
      <c r="E9" s="12">
        <v>2</v>
      </c>
      <c r="F9" s="8">
        <v>0.1</v>
      </c>
      <c r="G9" s="12">
        <v>30</v>
      </c>
      <c r="H9" s="8">
        <v>1.52</v>
      </c>
      <c r="I9" s="12">
        <v>0</v>
      </c>
    </row>
    <row r="10" spans="2:9" ht="15" customHeight="1" x14ac:dyDescent="0.2">
      <c r="B10" t="s">
        <v>80</v>
      </c>
      <c r="C10" s="12">
        <v>67</v>
      </c>
      <c r="D10" s="8">
        <v>1.67</v>
      </c>
      <c r="E10" s="12">
        <v>23</v>
      </c>
      <c r="F10" s="8">
        <v>1.1299999999999999</v>
      </c>
      <c r="G10" s="12">
        <v>44</v>
      </c>
      <c r="H10" s="8">
        <v>2.23</v>
      </c>
      <c r="I10" s="12">
        <v>0</v>
      </c>
    </row>
    <row r="11" spans="2:9" ht="15" customHeight="1" x14ac:dyDescent="0.2">
      <c r="B11" t="s">
        <v>81</v>
      </c>
      <c r="C11" s="12">
        <v>880</v>
      </c>
      <c r="D11" s="8">
        <v>21.91</v>
      </c>
      <c r="E11" s="12">
        <v>416</v>
      </c>
      <c r="F11" s="8">
        <v>20.52</v>
      </c>
      <c r="G11" s="12">
        <v>463</v>
      </c>
      <c r="H11" s="8">
        <v>23.47</v>
      </c>
      <c r="I11" s="12">
        <v>1</v>
      </c>
    </row>
    <row r="12" spans="2:9" ht="15" customHeight="1" x14ac:dyDescent="0.2">
      <c r="B12" t="s">
        <v>82</v>
      </c>
      <c r="C12" s="12">
        <v>23</v>
      </c>
      <c r="D12" s="8">
        <v>0.56999999999999995</v>
      </c>
      <c r="E12" s="12">
        <v>4</v>
      </c>
      <c r="F12" s="8">
        <v>0.2</v>
      </c>
      <c r="G12" s="12">
        <v>19</v>
      </c>
      <c r="H12" s="8">
        <v>0.96</v>
      </c>
      <c r="I12" s="12">
        <v>0</v>
      </c>
    </row>
    <row r="13" spans="2:9" ht="15" customHeight="1" x14ac:dyDescent="0.2">
      <c r="B13" t="s">
        <v>83</v>
      </c>
      <c r="C13" s="12">
        <v>406</v>
      </c>
      <c r="D13" s="8">
        <v>10.11</v>
      </c>
      <c r="E13" s="12">
        <v>73</v>
      </c>
      <c r="F13" s="8">
        <v>3.6</v>
      </c>
      <c r="G13" s="12">
        <v>331</v>
      </c>
      <c r="H13" s="8">
        <v>16.78</v>
      </c>
      <c r="I13" s="12">
        <v>1</v>
      </c>
    </row>
    <row r="14" spans="2:9" ht="15" customHeight="1" x14ac:dyDescent="0.2">
      <c r="B14" t="s">
        <v>84</v>
      </c>
      <c r="C14" s="12">
        <v>256</v>
      </c>
      <c r="D14" s="8">
        <v>6.37</v>
      </c>
      <c r="E14" s="12">
        <v>160</v>
      </c>
      <c r="F14" s="8">
        <v>7.89</v>
      </c>
      <c r="G14" s="12">
        <v>91</v>
      </c>
      <c r="H14" s="8">
        <v>4.6100000000000003</v>
      </c>
      <c r="I14" s="12">
        <v>3</v>
      </c>
    </row>
    <row r="15" spans="2:9" ht="15" customHeight="1" x14ac:dyDescent="0.2">
      <c r="B15" t="s">
        <v>85</v>
      </c>
      <c r="C15" s="12">
        <v>647</v>
      </c>
      <c r="D15" s="8">
        <v>16.11</v>
      </c>
      <c r="E15" s="12">
        <v>565</v>
      </c>
      <c r="F15" s="8">
        <v>27.87</v>
      </c>
      <c r="G15" s="12">
        <v>81</v>
      </c>
      <c r="H15" s="8">
        <v>4.1100000000000003</v>
      </c>
      <c r="I15" s="12">
        <v>1</v>
      </c>
    </row>
    <row r="16" spans="2:9" ht="15" customHeight="1" x14ac:dyDescent="0.2">
      <c r="B16" t="s">
        <v>86</v>
      </c>
      <c r="C16" s="12">
        <v>385</v>
      </c>
      <c r="D16" s="8">
        <v>9.59</v>
      </c>
      <c r="E16" s="12">
        <v>297</v>
      </c>
      <c r="F16" s="8">
        <v>14.65</v>
      </c>
      <c r="G16" s="12">
        <v>88</v>
      </c>
      <c r="H16" s="8">
        <v>4.46</v>
      </c>
      <c r="I16" s="12">
        <v>0</v>
      </c>
    </row>
    <row r="17" spans="2:9" ht="15" customHeight="1" x14ac:dyDescent="0.2">
      <c r="B17" t="s">
        <v>87</v>
      </c>
      <c r="C17" s="12">
        <v>137</v>
      </c>
      <c r="D17" s="8">
        <v>3.41</v>
      </c>
      <c r="E17" s="12">
        <v>96</v>
      </c>
      <c r="F17" s="8">
        <v>4.74</v>
      </c>
      <c r="G17" s="12">
        <v>40</v>
      </c>
      <c r="H17" s="8">
        <v>2.0299999999999998</v>
      </c>
      <c r="I17" s="12">
        <v>0</v>
      </c>
    </row>
    <row r="18" spans="2:9" ht="15" customHeight="1" x14ac:dyDescent="0.2">
      <c r="B18" t="s">
        <v>88</v>
      </c>
      <c r="C18" s="12">
        <v>247</v>
      </c>
      <c r="D18" s="8">
        <v>6.15</v>
      </c>
      <c r="E18" s="12">
        <v>153</v>
      </c>
      <c r="F18" s="8">
        <v>7.55</v>
      </c>
      <c r="G18" s="12">
        <v>92</v>
      </c>
      <c r="H18" s="8">
        <v>4.66</v>
      </c>
      <c r="I18" s="12">
        <v>1</v>
      </c>
    </row>
    <row r="19" spans="2:9" ht="15" customHeight="1" x14ac:dyDescent="0.2">
      <c r="B19" t="s">
        <v>89</v>
      </c>
      <c r="C19" s="12">
        <v>110</v>
      </c>
      <c r="D19" s="8">
        <v>2.74</v>
      </c>
      <c r="E19" s="12">
        <v>26</v>
      </c>
      <c r="F19" s="8">
        <v>1.28</v>
      </c>
      <c r="G19" s="12">
        <v>80</v>
      </c>
      <c r="H19" s="8">
        <v>4.05</v>
      </c>
      <c r="I19" s="12">
        <v>3</v>
      </c>
    </row>
    <row r="20" spans="2:9" ht="15" customHeight="1" x14ac:dyDescent="0.2">
      <c r="B20" s="9" t="s">
        <v>271</v>
      </c>
      <c r="C20" s="12">
        <f>SUM(LTBL_27141[総数／事業所数])</f>
        <v>4016</v>
      </c>
      <c r="E20" s="12">
        <f>SUBTOTAL(109,LTBL_27141[個人／事業所数])</f>
        <v>2027</v>
      </c>
      <c r="G20" s="12">
        <f>SUBTOTAL(109,LTBL_27141[法人／事業所数])</f>
        <v>1973</v>
      </c>
      <c r="I20" s="12">
        <f>SUBTOTAL(109,LTBL_27141[法人以外の団体／事業所数])</f>
        <v>10</v>
      </c>
    </row>
    <row r="21" spans="2:9" ht="15" customHeight="1" x14ac:dyDescent="0.2">
      <c r="E21" s="11">
        <f>LTBL_27141[[#Totals],[個人／事業所数]]/LTBL_27141[[#Totals],[総数／事業所数]]</f>
        <v>0.50473107569721121</v>
      </c>
      <c r="G21" s="11">
        <f>LTBL_27141[[#Totals],[法人／事業所数]]/LTBL_27141[[#Totals],[総数／事業所数]]</f>
        <v>0.49128486055776893</v>
      </c>
      <c r="I21" s="11">
        <f>LTBL_27141[[#Totals],[法人以外の団体／事業所数]]/LTBL_27141[[#Totals],[総数／事業所数]]</f>
        <v>2.4900398406374502E-3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113</v>
      </c>
      <c r="C24" s="12">
        <v>604</v>
      </c>
      <c r="D24" s="8">
        <v>15.04</v>
      </c>
      <c r="E24" s="12">
        <v>549</v>
      </c>
      <c r="F24" s="8">
        <v>27.08</v>
      </c>
      <c r="G24" s="12">
        <v>54</v>
      </c>
      <c r="H24" s="8">
        <v>2.74</v>
      </c>
      <c r="I24" s="12">
        <v>1</v>
      </c>
    </row>
    <row r="25" spans="2:9" ht="15" customHeight="1" x14ac:dyDescent="0.2">
      <c r="B25" t="s">
        <v>114</v>
      </c>
      <c r="C25" s="12">
        <v>325</v>
      </c>
      <c r="D25" s="8">
        <v>8.09</v>
      </c>
      <c r="E25" s="12">
        <v>277</v>
      </c>
      <c r="F25" s="8">
        <v>13.67</v>
      </c>
      <c r="G25" s="12">
        <v>48</v>
      </c>
      <c r="H25" s="8">
        <v>2.4300000000000002</v>
      </c>
      <c r="I25" s="12">
        <v>0</v>
      </c>
    </row>
    <row r="26" spans="2:9" ht="15" customHeight="1" x14ac:dyDescent="0.2">
      <c r="B26" t="s">
        <v>110</v>
      </c>
      <c r="C26" s="12">
        <v>286</v>
      </c>
      <c r="D26" s="8">
        <v>7.12</v>
      </c>
      <c r="E26" s="12">
        <v>52</v>
      </c>
      <c r="F26" s="8">
        <v>2.57</v>
      </c>
      <c r="G26" s="12">
        <v>232</v>
      </c>
      <c r="H26" s="8">
        <v>11.76</v>
      </c>
      <c r="I26" s="12">
        <v>1</v>
      </c>
    </row>
    <row r="27" spans="2:9" ht="15" customHeight="1" x14ac:dyDescent="0.2">
      <c r="B27" t="s">
        <v>108</v>
      </c>
      <c r="C27" s="12">
        <v>255</v>
      </c>
      <c r="D27" s="8">
        <v>6.35</v>
      </c>
      <c r="E27" s="12">
        <v>153</v>
      </c>
      <c r="F27" s="8">
        <v>7.55</v>
      </c>
      <c r="G27" s="12">
        <v>101</v>
      </c>
      <c r="H27" s="8">
        <v>5.12</v>
      </c>
      <c r="I27" s="12">
        <v>1</v>
      </c>
    </row>
    <row r="28" spans="2:9" ht="15" customHeight="1" x14ac:dyDescent="0.2">
      <c r="B28" t="s">
        <v>111</v>
      </c>
      <c r="C28" s="12">
        <v>188</v>
      </c>
      <c r="D28" s="8">
        <v>4.68</v>
      </c>
      <c r="E28" s="12">
        <v>133</v>
      </c>
      <c r="F28" s="8">
        <v>6.56</v>
      </c>
      <c r="G28" s="12">
        <v>53</v>
      </c>
      <c r="H28" s="8">
        <v>2.69</v>
      </c>
      <c r="I28" s="12">
        <v>2</v>
      </c>
    </row>
    <row r="29" spans="2:9" ht="15" customHeight="1" x14ac:dyDescent="0.2">
      <c r="B29" t="s">
        <v>116</v>
      </c>
      <c r="C29" s="12">
        <v>178</v>
      </c>
      <c r="D29" s="8">
        <v>4.43</v>
      </c>
      <c r="E29" s="12">
        <v>153</v>
      </c>
      <c r="F29" s="8">
        <v>7.55</v>
      </c>
      <c r="G29" s="12">
        <v>25</v>
      </c>
      <c r="H29" s="8">
        <v>1.27</v>
      </c>
      <c r="I29" s="12">
        <v>0</v>
      </c>
    </row>
    <row r="30" spans="2:9" ht="15" customHeight="1" x14ac:dyDescent="0.2">
      <c r="B30" t="s">
        <v>106</v>
      </c>
      <c r="C30" s="12">
        <v>161</v>
      </c>
      <c r="D30" s="8">
        <v>4.01</v>
      </c>
      <c r="E30" s="12">
        <v>114</v>
      </c>
      <c r="F30" s="8">
        <v>5.62</v>
      </c>
      <c r="G30" s="12">
        <v>47</v>
      </c>
      <c r="H30" s="8">
        <v>2.38</v>
      </c>
      <c r="I30" s="12">
        <v>0</v>
      </c>
    </row>
    <row r="31" spans="2:9" ht="15" customHeight="1" x14ac:dyDescent="0.2">
      <c r="B31" t="s">
        <v>115</v>
      </c>
      <c r="C31" s="12">
        <v>137</v>
      </c>
      <c r="D31" s="8">
        <v>3.41</v>
      </c>
      <c r="E31" s="12">
        <v>96</v>
      </c>
      <c r="F31" s="8">
        <v>4.74</v>
      </c>
      <c r="G31" s="12">
        <v>40</v>
      </c>
      <c r="H31" s="8">
        <v>2.0299999999999998</v>
      </c>
      <c r="I31" s="12">
        <v>0</v>
      </c>
    </row>
    <row r="32" spans="2:9" ht="15" customHeight="1" x14ac:dyDescent="0.2">
      <c r="B32" t="s">
        <v>100</v>
      </c>
      <c r="C32" s="12">
        <v>135</v>
      </c>
      <c r="D32" s="8">
        <v>3.36</v>
      </c>
      <c r="E32" s="12">
        <v>20</v>
      </c>
      <c r="F32" s="8">
        <v>0.99</v>
      </c>
      <c r="G32" s="12">
        <v>115</v>
      </c>
      <c r="H32" s="8">
        <v>5.83</v>
      </c>
      <c r="I32" s="12">
        <v>0</v>
      </c>
    </row>
    <row r="33" spans="2:9" ht="15" customHeight="1" x14ac:dyDescent="0.2">
      <c r="B33" t="s">
        <v>98</v>
      </c>
      <c r="C33" s="12">
        <v>131</v>
      </c>
      <c r="D33" s="8">
        <v>3.26</v>
      </c>
      <c r="E33" s="12">
        <v>19</v>
      </c>
      <c r="F33" s="8">
        <v>0.94</v>
      </c>
      <c r="G33" s="12">
        <v>112</v>
      </c>
      <c r="H33" s="8">
        <v>5.68</v>
      </c>
      <c r="I33" s="12">
        <v>0</v>
      </c>
    </row>
    <row r="34" spans="2:9" ht="15" customHeight="1" x14ac:dyDescent="0.2">
      <c r="B34" t="s">
        <v>101</v>
      </c>
      <c r="C34" s="12">
        <v>119</v>
      </c>
      <c r="D34" s="8">
        <v>2.96</v>
      </c>
      <c r="E34" s="12">
        <v>51</v>
      </c>
      <c r="F34" s="8">
        <v>2.52</v>
      </c>
      <c r="G34" s="12">
        <v>68</v>
      </c>
      <c r="H34" s="8">
        <v>3.45</v>
      </c>
      <c r="I34" s="12">
        <v>0</v>
      </c>
    </row>
    <row r="35" spans="2:9" ht="15" customHeight="1" x14ac:dyDescent="0.2">
      <c r="B35" t="s">
        <v>99</v>
      </c>
      <c r="C35" s="12">
        <v>111</v>
      </c>
      <c r="D35" s="8">
        <v>2.76</v>
      </c>
      <c r="E35" s="12">
        <v>32</v>
      </c>
      <c r="F35" s="8">
        <v>1.58</v>
      </c>
      <c r="G35" s="12">
        <v>79</v>
      </c>
      <c r="H35" s="8">
        <v>4</v>
      </c>
      <c r="I35" s="12">
        <v>0</v>
      </c>
    </row>
    <row r="36" spans="2:9" ht="15" customHeight="1" x14ac:dyDescent="0.2">
      <c r="B36" t="s">
        <v>109</v>
      </c>
      <c r="C36" s="12">
        <v>102</v>
      </c>
      <c r="D36" s="8">
        <v>2.54</v>
      </c>
      <c r="E36" s="12">
        <v>20</v>
      </c>
      <c r="F36" s="8">
        <v>0.99</v>
      </c>
      <c r="G36" s="12">
        <v>82</v>
      </c>
      <c r="H36" s="8">
        <v>4.16</v>
      </c>
      <c r="I36" s="12">
        <v>0</v>
      </c>
    </row>
    <row r="37" spans="2:9" ht="15" customHeight="1" x14ac:dyDescent="0.2">
      <c r="B37" t="s">
        <v>105</v>
      </c>
      <c r="C37" s="12">
        <v>100</v>
      </c>
      <c r="D37" s="8">
        <v>2.4900000000000002</v>
      </c>
      <c r="E37" s="12">
        <v>49</v>
      </c>
      <c r="F37" s="8">
        <v>2.42</v>
      </c>
      <c r="G37" s="12">
        <v>51</v>
      </c>
      <c r="H37" s="8">
        <v>2.58</v>
      </c>
      <c r="I37" s="12">
        <v>0</v>
      </c>
    </row>
    <row r="38" spans="2:9" ht="15" customHeight="1" x14ac:dyDescent="0.2">
      <c r="B38" t="s">
        <v>103</v>
      </c>
      <c r="C38" s="12">
        <v>79</v>
      </c>
      <c r="D38" s="8">
        <v>1.97</v>
      </c>
      <c r="E38" s="12">
        <v>5</v>
      </c>
      <c r="F38" s="8">
        <v>0.25</v>
      </c>
      <c r="G38" s="12">
        <v>74</v>
      </c>
      <c r="H38" s="8">
        <v>3.75</v>
      </c>
      <c r="I38" s="12">
        <v>0</v>
      </c>
    </row>
    <row r="39" spans="2:9" ht="15" customHeight="1" x14ac:dyDescent="0.2">
      <c r="B39" t="s">
        <v>104</v>
      </c>
      <c r="C39" s="12">
        <v>73</v>
      </c>
      <c r="D39" s="8">
        <v>1.82</v>
      </c>
      <c r="E39" s="12">
        <v>22</v>
      </c>
      <c r="F39" s="8">
        <v>1.0900000000000001</v>
      </c>
      <c r="G39" s="12">
        <v>51</v>
      </c>
      <c r="H39" s="8">
        <v>2.58</v>
      </c>
      <c r="I39" s="12">
        <v>0</v>
      </c>
    </row>
    <row r="40" spans="2:9" ht="15" customHeight="1" x14ac:dyDescent="0.2">
      <c r="B40" t="s">
        <v>107</v>
      </c>
      <c r="C40" s="12">
        <v>73</v>
      </c>
      <c r="D40" s="8">
        <v>1.82</v>
      </c>
      <c r="E40" s="12">
        <v>36</v>
      </c>
      <c r="F40" s="8">
        <v>1.78</v>
      </c>
      <c r="G40" s="12">
        <v>37</v>
      </c>
      <c r="H40" s="8">
        <v>1.88</v>
      </c>
      <c r="I40" s="12">
        <v>0</v>
      </c>
    </row>
    <row r="41" spans="2:9" ht="15" customHeight="1" x14ac:dyDescent="0.2">
      <c r="B41" t="s">
        <v>117</v>
      </c>
      <c r="C41" s="12">
        <v>69</v>
      </c>
      <c r="D41" s="8">
        <v>1.72</v>
      </c>
      <c r="E41" s="12">
        <v>0</v>
      </c>
      <c r="F41" s="8">
        <v>0</v>
      </c>
      <c r="G41" s="12">
        <v>67</v>
      </c>
      <c r="H41" s="8">
        <v>3.4</v>
      </c>
      <c r="I41" s="12">
        <v>1</v>
      </c>
    </row>
    <row r="42" spans="2:9" ht="15" customHeight="1" x14ac:dyDescent="0.2">
      <c r="B42" t="s">
        <v>112</v>
      </c>
      <c r="C42" s="12">
        <v>62</v>
      </c>
      <c r="D42" s="8">
        <v>1.54</v>
      </c>
      <c r="E42" s="12">
        <v>27</v>
      </c>
      <c r="F42" s="8">
        <v>1.33</v>
      </c>
      <c r="G42" s="12">
        <v>33</v>
      </c>
      <c r="H42" s="8">
        <v>1.67</v>
      </c>
      <c r="I42" s="12">
        <v>0</v>
      </c>
    </row>
    <row r="43" spans="2:9" ht="15" customHeight="1" x14ac:dyDescent="0.2">
      <c r="B43" t="s">
        <v>102</v>
      </c>
      <c r="C43" s="12">
        <v>60</v>
      </c>
      <c r="D43" s="8">
        <v>1.49</v>
      </c>
      <c r="E43" s="12">
        <v>12</v>
      </c>
      <c r="F43" s="8">
        <v>0.59</v>
      </c>
      <c r="G43" s="12">
        <v>48</v>
      </c>
      <c r="H43" s="8">
        <v>2.4300000000000002</v>
      </c>
      <c r="I43" s="12">
        <v>0</v>
      </c>
    </row>
    <row r="46" spans="2:9" ht="33" customHeight="1" x14ac:dyDescent="0.2">
      <c r="B46" t="s">
        <v>273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169</v>
      </c>
      <c r="C47" s="12">
        <v>145</v>
      </c>
      <c r="D47" s="8">
        <v>3.61</v>
      </c>
      <c r="E47" s="12">
        <v>129</v>
      </c>
      <c r="F47" s="8">
        <v>6.36</v>
      </c>
      <c r="G47" s="12">
        <v>16</v>
      </c>
      <c r="H47" s="8">
        <v>0.81</v>
      </c>
      <c r="I47" s="12">
        <v>0</v>
      </c>
    </row>
    <row r="48" spans="2:9" ht="15" customHeight="1" x14ac:dyDescent="0.2">
      <c r="B48" t="s">
        <v>171</v>
      </c>
      <c r="C48" s="12">
        <v>131</v>
      </c>
      <c r="D48" s="8">
        <v>3.26</v>
      </c>
      <c r="E48" s="12">
        <v>115</v>
      </c>
      <c r="F48" s="8">
        <v>5.67</v>
      </c>
      <c r="G48" s="12">
        <v>16</v>
      </c>
      <c r="H48" s="8">
        <v>0.81</v>
      </c>
      <c r="I48" s="12">
        <v>0</v>
      </c>
    </row>
    <row r="49" spans="2:9" ht="15" customHeight="1" x14ac:dyDescent="0.2">
      <c r="B49" t="s">
        <v>164</v>
      </c>
      <c r="C49" s="12">
        <v>125</v>
      </c>
      <c r="D49" s="8">
        <v>3.11</v>
      </c>
      <c r="E49" s="12">
        <v>109</v>
      </c>
      <c r="F49" s="8">
        <v>5.38</v>
      </c>
      <c r="G49" s="12">
        <v>16</v>
      </c>
      <c r="H49" s="8">
        <v>0.81</v>
      </c>
      <c r="I49" s="12">
        <v>0</v>
      </c>
    </row>
    <row r="50" spans="2:9" ht="15" customHeight="1" x14ac:dyDescent="0.2">
      <c r="B50" t="s">
        <v>160</v>
      </c>
      <c r="C50" s="12">
        <v>122</v>
      </c>
      <c r="D50" s="8">
        <v>3.04</v>
      </c>
      <c r="E50" s="12">
        <v>26</v>
      </c>
      <c r="F50" s="8">
        <v>1.28</v>
      </c>
      <c r="G50" s="12">
        <v>96</v>
      </c>
      <c r="H50" s="8">
        <v>4.87</v>
      </c>
      <c r="I50" s="12">
        <v>0</v>
      </c>
    </row>
    <row r="51" spans="2:9" ht="15" customHeight="1" x14ac:dyDescent="0.2">
      <c r="B51" t="s">
        <v>165</v>
      </c>
      <c r="C51" s="12">
        <v>119</v>
      </c>
      <c r="D51" s="8">
        <v>2.96</v>
      </c>
      <c r="E51" s="12">
        <v>108</v>
      </c>
      <c r="F51" s="8">
        <v>5.33</v>
      </c>
      <c r="G51" s="12">
        <v>11</v>
      </c>
      <c r="H51" s="8">
        <v>0.56000000000000005</v>
      </c>
      <c r="I51" s="12">
        <v>0</v>
      </c>
    </row>
    <row r="52" spans="2:9" ht="15" customHeight="1" x14ac:dyDescent="0.2">
      <c r="B52" t="s">
        <v>167</v>
      </c>
      <c r="C52" s="12">
        <v>116</v>
      </c>
      <c r="D52" s="8">
        <v>2.89</v>
      </c>
      <c r="E52" s="12">
        <v>110</v>
      </c>
      <c r="F52" s="8">
        <v>5.43</v>
      </c>
      <c r="G52" s="12">
        <v>5</v>
      </c>
      <c r="H52" s="8">
        <v>0.25</v>
      </c>
      <c r="I52" s="12">
        <v>1</v>
      </c>
    </row>
    <row r="53" spans="2:9" ht="15" customHeight="1" x14ac:dyDescent="0.2">
      <c r="B53" t="s">
        <v>157</v>
      </c>
      <c r="C53" s="12">
        <v>112</v>
      </c>
      <c r="D53" s="8">
        <v>2.79</v>
      </c>
      <c r="E53" s="12">
        <v>80</v>
      </c>
      <c r="F53" s="8">
        <v>3.95</v>
      </c>
      <c r="G53" s="12">
        <v>31</v>
      </c>
      <c r="H53" s="8">
        <v>1.57</v>
      </c>
      <c r="I53" s="12">
        <v>1</v>
      </c>
    </row>
    <row r="54" spans="2:9" ht="15" customHeight="1" x14ac:dyDescent="0.2">
      <c r="B54" t="s">
        <v>168</v>
      </c>
      <c r="C54" s="12">
        <v>111</v>
      </c>
      <c r="D54" s="8">
        <v>2.76</v>
      </c>
      <c r="E54" s="12">
        <v>105</v>
      </c>
      <c r="F54" s="8">
        <v>5.18</v>
      </c>
      <c r="G54" s="12">
        <v>6</v>
      </c>
      <c r="H54" s="8">
        <v>0.3</v>
      </c>
      <c r="I54" s="12">
        <v>0</v>
      </c>
    </row>
    <row r="55" spans="2:9" ht="15" customHeight="1" x14ac:dyDescent="0.2">
      <c r="B55" t="s">
        <v>166</v>
      </c>
      <c r="C55" s="12">
        <v>108</v>
      </c>
      <c r="D55" s="8">
        <v>2.69</v>
      </c>
      <c r="E55" s="12">
        <v>101</v>
      </c>
      <c r="F55" s="8">
        <v>4.9800000000000004</v>
      </c>
      <c r="G55" s="12">
        <v>7</v>
      </c>
      <c r="H55" s="8">
        <v>0.35</v>
      </c>
      <c r="I55" s="12">
        <v>0</v>
      </c>
    </row>
    <row r="56" spans="2:9" ht="15" customHeight="1" x14ac:dyDescent="0.2">
      <c r="B56" t="s">
        <v>170</v>
      </c>
      <c r="C56" s="12">
        <v>94</v>
      </c>
      <c r="D56" s="8">
        <v>2.34</v>
      </c>
      <c r="E56" s="12">
        <v>70</v>
      </c>
      <c r="F56" s="8">
        <v>3.45</v>
      </c>
      <c r="G56" s="12">
        <v>24</v>
      </c>
      <c r="H56" s="8">
        <v>1.22</v>
      </c>
      <c r="I56" s="12">
        <v>0</v>
      </c>
    </row>
    <row r="57" spans="2:9" ht="15" customHeight="1" x14ac:dyDescent="0.2">
      <c r="B57" t="s">
        <v>158</v>
      </c>
      <c r="C57" s="12">
        <v>72</v>
      </c>
      <c r="D57" s="8">
        <v>1.79</v>
      </c>
      <c r="E57" s="12">
        <v>18</v>
      </c>
      <c r="F57" s="8">
        <v>0.89</v>
      </c>
      <c r="G57" s="12">
        <v>54</v>
      </c>
      <c r="H57" s="8">
        <v>2.74</v>
      </c>
      <c r="I57" s="12">
        <v>0</v>
      </c>
    </row>
    <row r="58" spans="2:9" ht="15" customHeight="1" x14ac:dyDescent="0.2">
      <c r="B58" t="s">
        <v>159</v>
      </c>
      <c r="C58" s="12">
        <v>71</v>
      </c>
      <c r="D58" s="8">
        <v>1.77</v>
      </c>
      <c r="E58" s="12">
        <v>5</v>
      </c>
      <c r="F58" s="8">
        <v>0.25</v>
      </c>
      <c r="G58" s="12">
        <v>65</v>
      </c>
      <c r="H58" s="8">
        <v>3.29</v>
      </c>
      <c r="I58" s="12">
        <v>0</v>
      </c>
    </row>
    <row r="59" spans="2:9" ht="15" customHeight="1" x14ac:dyDescent="0.2">
      <c r="B59" t="s">
        <v>156</v>
      </c>
      <c r="C59" s="12">
        <v>59</v>
      </c>
      <c r="D59" s="8">
        <v>1.47</v>
      </c>
      <c r="E59" s="12">
        <v>37</v>
      </c>
      <c r="F59" s="8">
        <v>1.83</v>
      </c>
      <c r="G59" s="12">
        <v>22</v>
      </c>
      <c r="H59" s="8">
        <v>1.1200000000000001</v>
      </c>
      <c r="I59" s="12">
        <v>0</v>
      </c>
    </row>
    <row r="60" spans="2:9" ht="15" customHeight="1" x14ac:dyDescent="0.2">
      <c r="B60" t="s">
        <v>153</v>
      </c>
      <c r="C60" s="12">
        <v>53</v>
      </c>
      <c r="D60" s="8">
        <v>1.32</v>
      </c>
      <c r="E60" s="12">
        <v>11</v>
      </c>
      <c r="F60" s="8">
        <v>0.54</v>
      </c>
      <c r="G60" s="12">
        <v>42</v>
      </c>
      <c r="H60" s="8">
        <v>2.13</v>
      </c>
      <c r="I60" s="12">
        <v>0</v>
      </c>
    </row>
    <row r="61" spans="2:9" ht="15" customHeight="1" x14ac:dyDescent="0.2">
      <c r="B61" t="s">
        <v>222</v>
      </c>
      <c r="C61" s="12">
        <v>50</v>
      </c>
      <c r="D61" s="8">
        <v>1.25</v>
      </c>
      <c r="E61" s="12">
        <v>46</v>
      </c>
      <c r="F61" s="8">
        <v>2.27</v>
      </c>
      <c r="G61" s="12">
        <v>4</v>
      </c>
      <c r="H61" s="8">
        <v>0.2</v>
      </c>
      <c r="I61" s="12">
        <v>0</v>
      </c>
    </row>
    <row r="62" spans="2:9" ht="15" customHeight="1" x14ac:dyDescent="0.2">
      <c r="B62" t="s">
        <v>161</v>
      </c>
      <c r="C62" s="12">
        <v>49</v>
      </c>
      <c r="D62" s="8">
        <v>1.22</v>
      </c>
      <c r="E62" s="12">
        <v>21</v>
      </c>
      <c r="F62" s="8">
        <v>1.04</v>
      </c>
      <c r="G62" s="12">
        <v>28</v>
      </c>
      <c r="H62" s="8">
        <v>1.42</v>
      </c>
      <c r="I62" s="12">
        <v>0</v>
      </c>
    </row>
    <row r="63" spans="2:9" ht="15" customHeight="1" x14ac:dyDescent="0.2">
      <c r="B63" t="s">
        <v>183</v>
      </c>
      <c r="C63" s="12">
        <v>48</v>
      </c>
      <c r="D63" s="8">
        <v>1.2</v>
      </c>
      <c r="E63" s="12">
        <v>43</v>
      </c>
      <c r="F63" s="8">
        <v>2.12</v>
      </c>
      <c r="G63" s="12">
        <v>5</v>
      </c>
      <c r="H63" s="8">
        <v>0.25</v>
      </c>
      <c r="I63" s="12">
        <v>0</v>
      </c>
    </row>
    <row r="64" spans="2:9" ht="15" customHeight="1" x14ac:dyDescent="0.2">
      <c r="B64" t="s">
        <v>152</v>
      </c>
      <c r="C64" s="12">
        <v>47</v>
      </c>
      <c r="D64" s="8">
        <v>1.17</v>
      </c>
      <c r="E64" s="12">
        <v>5</v>
      </c>
      <c r="F64" s="8">
        <v>0.25</v>
      </c>
      <c r="G64" s="12">
        <v>42</v>
      </c>
      <c r="H64" s="8">
        <v>2.13</v>
      </c>
      <c r="I64" s="12">
        <v>0</v>
      </c>
    </row>
    <row r="65" spans="2:9" ht="15" customHeight="1" x14ac:dyDescent="0.2">
      <c r="B65" t="s">
        <v>174</v>
      </c>
      <c r="C65" s="12">
        <v>47</v>
      </c>
      <c r="D65" s="8">
        <v>1.17</v>
      </c>
      <c r="E65" s="12">
        <v>6</v>
      </c>
      <c r="F65" s="8">
        <v>0.3</v>
      </c>
      <c r="G65" s="12">
        <v>41</v>
      </c>
      <c r="H65" s="8">
        <v>2.08</v>
      </c>
      <c r="I65" s="12">
        <v>0</v>
      </c>
    </row>
    <row r="66" spans="2:9" ht="15" customHeight="1" x14ac:dyDescent="0.2">
      <c r="B66" t="s">
        <v>155</v>
      </c>
      <c r="C66" s="12">
        <v>47</v>
      </c>
      <c r="D66" s="8">
        <v>1.17</v>
      </c>
      <c r="E66" s="12">
        <v>23</v>
      </c>
      <c r="F66" s="8">
        <v>1.1299999999999999</v>
      </c>
      <c r="G66" s="12">
        <v>24</v>
      </c>
      <c r="H66" s="8">
        <v>1.22</v>
      </c>
      <c r="I66" s="12">
        <v>0</v>
      </c>
    </row>
    <row r="68" spans="2:9" ht="15" customHeight="1" x14ac:dyDescent="0.2">
      <c r="B68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3A620-650D-4651-A4D2-2FC7D2139971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302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394</v>
      </c>
      <c r="D6" s="8">
        <v>17.7</v>
      </c>
      <c r="E6" s="12">
        <v>82</v>
      </c>
      <c r="F6" s="8">
        <v>7.22</v>
      </c>
      <c r="G6" s="12">
        <v>312</v>
      </c>
      <c r="H6" s="8">
        <v>28.65</v>
      </c>
      <c r="I6" s="12">
        <v>0</v>
      </c>
    </row>
    <row r="7" spans="2:9" ht="15" customHeight="1" x14ac:dyDescent="0.2">
      <c r="B7" t="s">
        <v>77</v>
      </c>
      <c r="C7" s="12">
        <v>282</v>
      </c>
      <c r="D7" s="8">
        <v>12.67</v>
      </c>
      <c r="E7" s="12">
        <v>108</v>
      </c>
      <c r="F7" s="8">
        <v>9.51</v>
      </c>
      <c r="G7" s="12">
        <v>174</v>
      </c>
      <c r="H7" s="8">
        <v>15.98</v>
      </c>
      <c r="I7" s="12">
        <v>0</v>
      </c>
    </row>
    <row r="8" spans="2:9" ht="15" customHeight="1" x14ac:dyDescent="0.2">
      <c r="B8" t="s">
        <v>78</v>
      </c>
      <c r="C8" s="12">
        <v>1</v>
      </c>
      <c r="D8" s="8">
        <v>0.04</v>
      </c>
      <c r="E8" s="12">
        <v>0</v>
      </c>
      <c r="F8" s="8">
        <v>0</v>
      </c>
      <c r="G8" s="12">
        <v>1</v>
      </c>
      <c r="H8" s="8">
        <v>0.09</v>
      </c>
      <c r="I8" s="12">
        <v>0</v>
      </c>
    </row>
    <row r="9" spans="2:9" ht="15" customHeight="1" x14ac:dyDescent="0.2">
      <c r="B9" t="s">
        <v>79</v>
      </c>
      <c r="C9" s="12">
        <v>20</v>
      </c>
      <c r="D9" s="8">
        <v>0.9</v>
      </c>
      <c r="E9" s="12">
        <v>2</v>
      </c>
      <c r="F9" s="8">
        <v>0.18</v>
      </c>
      <c r="G9" s="12">
        <v>18</v>
      </c>
      <c r="H9" s="8">
        <v>1.65</v>
      </c>
      <c r="I9" s="12">
        <v>0</v>
      </c>
    </row>
    <row r="10" spans="2:9" ht="15" customHeight="1" x14ac:dyDescent="0.2">
      <c r="B10" t="s">
        <v>80</v>
      </c>
      <c r="C10" s="12">
        <v>60</v>
      </c>
      <c r="D10" s="8">
        <v>2.7</v>
      </c>
      <c r="E10" s="12">
        <v>38</v>
      </c>
      <c r="F10" s="8">
        <v>3.35</v>
      </c>
      <c r="G10" s="12">
        <v>22</v>
      </c>
      <c r="H10" s="8">
        <v>2.02</v>
      </c>
      <c r="I10" s="12">
        <v>0</v>
      </c>
    </row>
    <row r="11" spans="2:9" ht="15" customHeight="1" x14ac:dyDescent="0.2">
      <c r="B11" t="s">
        <v>81</v>
      </c>
      <c r="C11" s="12">
        <v>400</v>
      </c>
      <c r="D11" s="8">
        <v>17.97</v>
      </c>
      <c r="E11" s="12">
        <v>222</v>
      </c>
      <c r="F11" s="8">
        <v>19.54</v>
      </c>
      <c r="G11" s="12">
        <v>178</v>
      </c>
      <c r="H11" s="8">
        <v>16.350000000000001</v>
      </c>
      <c r="I11" s="12">
        <v>0</v>
      </c>
    </row>
    <row r="12" spans="2:9" ht="15" customHeight="1" x14ac:dyDescent="0.2">
      <c r="B12" t="s">
        <v>82</v>
      </c>
      <c r="C12" s="12">
        <v>13</v>
      </c>
      <c r="D12" s="8">
        <v>0.57999999999999996</v>
      </c>
      <c r="E12" s="12">
        <v>0</v>
      </c>
      <c r="F12" s="8">
        <v>0</v>
      </c>
      <c r="G12" s="12">
        <v>13</v>
      </c>
      <c r="H12" s="8">
        <v>1.19</v>
      </c>
      <c r="I12" s="12">
        <v>0</v>
      </c>
    </row>
    <row r="13" spans="2:9" ht="15" customHeight="1" x14ac:dyDescent="0.2">
      <c r="B13" t="s">
        <v>83</v>
      </c>
      <c r="C13" s="12">
        <v>255</v>
      </c>
      <c r="D13" s="8">
        <v>11.46</v>
      </c>
      <c r="E13" s="12">
        <v>69</v>
      </c>
      <c r="F13" s="8">
        <v>6.07</v>
      </c>
      <c r="G13" s="12">
        <v>186</v>
      </c>
      <c r="H13" s="8">
        <v>17.079999999999998</v>
      </c>
      <c r="I13" s="12">
        <v>0</v>
      </c>
    </row>
    <row r="14" spans="2:9" ht="15" customHeight="1" x14ac:dyDescent="0.2">
      <c r="B14" t="s">
        <v>84</v>
      </c>
      <c r="C14" s="12">
        <v>69</v>
      </c>
      <c r="D14" s="8">
        <v>3.1</v>
      </c>
      <c r="E14" s="12">
        <v>35</v>
      </c>
      <c r="F14" s="8">
        <v>3.08</v>
      </c>
      <c r="G14" s="12">
        <v>34</v>
      </c>
      <c r="H14" s="8">
        <v>3.12</v>
      </c>
      <c r="I14" s="12">
        <v>0</v>
      </c>
    </row>
    <row r="15" spans="2:9" ht="15" customHeight="1" x14ac:dyDescent="0.2">
      <c r="B15" t="s">
        <v>85</v>
      </c>
      <c r="C15" s="12">
        <v>232</v>
      </c>
      <c r="D15" s="8">
        <v>10.42</v>
      </c>
      <c r="E15" s="12">
        <v>211</v>
      </c>
      <c r="F15" s="8">
        <v>18.57</v>
      </c>
      <c r="G15" s="12">
        <v>21</v>
      </c>
      <c r="H15" s="8">
        <v>1.93</v>
      </c>
      <c r="I15" s="12">
        <v>0</v>
      </c>
    </row>
    <row r="16" spans="2:9" ht="15" customHeight="1" x14ac:dyDescent="0.2">
      <c r="B16" t="s">
        <v>86</v>
      </c>
      <c r="C16" s="12">
        <v>246</v>
      </c>
      <c r="D16" s="8">
        <v>11.05</v>
      </c>
      <c r="E16" s="12">
        <v>210</v>
      </c>
      <c r="F16" s="8">
        <v>18.489999999999998</v>
      </c>
      <c r="G16" s="12">
        <v>36</v>
      </c>
      <c r="H16" s="8">
        <v>3.31</v>
      </c>
      <c r="I16" s="12">
        <v>0</v>
      </c>
    </row>
    <row r="17" spans="2:9" ht="15" customHeight="1" x14ac:dyDescent="0.2">
      <c r="B17" t="s">
        <v>87</v>
      </c>
      <c r="C17" s="12">
        <v>65</v>
      </c>
      <c r="D17" s="8">
        <v>2.92</v>
      </c>
      <c r="E17" s="12">
        <v>50</v>
      </c>
      <c r="F17" s="8">
        <v>4.4000000000000004</v>
      </c>
      <c r="G17" s="12">
        <v>14</v>
      </c>
      <c r="H17" s="8">
        <v>1.29</v>
      </c>
      <c r="I17" s="12">
        <v>0</v>
      </c>
    </row>
    <row r="18" spans="2:9" ht="15" customHeight="1" x14ac:dyDescent="0.2">
      <c r="B18" t="s">
        <v>88</v>
      </c>
      <c r="C18" s="12">
        <v>120</v>
      </c>
      <c r="D18" s="8">
        <v>5.39</v>
      </c>
      <c r="E18" s="12">
        <v>78</v>
      </c>
      <c r="F18" s="8">
        <v>6.87</v>
      </c>
      <c r="G18" s="12">
        <v>42</v>
      </c>
      <c r="H18" s="8">
        <v>3.86</v>
      </c>
      <c r="I18" s="12">
        <v>0</v>
      </c>
    </row>
    <row r="19" spans="2:9" ht="15" customHeight="1" x14ac:dyDescent="0.2">
      <c r="B19" t="s">
        <v>89</v>
      </c>
      <c r="C19" s="12">
        <v>69</v>
      </c>
      <c r="D19" s="8">
        <v>3.1</v>
      </c>
      <c r="E19" s="12">
        <v>31</v>
      </c>
      <c r="F19" s="8">
        <v>2.73</v>
      </c>
      <c r="G19" s="12">
        <v>38</v>
      </c>
      <c r="H19" s="8">
        <v>3.49</v>
      </c>
      <c r="I19" s="12">
        <v>0</v>
      </c>
    </row>
    <row r="20" spans="2:9" ht="15" customHeight="1" x14ac:dyDescent="0.2">
      <c r="B20" s="9" t="s">
        <v>271</v>
      </c>
      <c r="C20" s="12">
        <f>SUM(LTBL_27142[総数／事業所数])</f>
        <v>2226</v>
      </c>
      <c r="E20" s="12">
        <f>SUBTOTAL(109,LTBL_27142[個人／事業所数])</f>
        <v>1136</v>
      </c>
      <c r="G20" s="12">
        <f>SUBTOTAL(109,LTBL_27142[法人／事業所数])</f>
        <v>1089</v>
      </c>
      <c r="I20" s="12">
        <f>SUBTOTAL(109,LTBL_27142[法人以外の団体／事業所数])</f>
        <v>0</v>
      </c>
    </row>
    <row r="21" spans="2:9" ht="15" customHeight="1" x14ac:dyDescent="0.2">
      <c r="E21" s="11">
        <f>LTBL_27142[[#Totals],[個人／事業所数]]/LTBL_27142[[#Totals],[総数／事業所数]]</f>
        <v>0.51033243486073676</v>
      </c>
      <c r="G21" s="11">
        <f>LTBL_27142[[#Totals],[法人／事業所数]]/LTBL_27142[[#Totals],[総数／事業所数]]</f>
        <v>0.48921832884097033</v>
      </c>
      <c r="I21" s="11">
        <f>LTBL_27142[[#Totals],[法人以外の団体／事業所数]]/LTBL_27142[[#Totals],[総数／事業所数]]</f>
        <v>0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113</v>
      </c>
      <c r="C24" s="12">
        <v>213</v>
      </c>
      <c r="D24" s="8">
        <v>9.57</v>
      </c>
      <c r="E24" s="12">
        <v>200</v>
      </c>
      <c r="F24" s="8">
        <v>17.61</v>
      </c>
      <c r="G24" s="12">
        <v>13</v>
      </c>
      <c r="H24" s="8">
        <v>1.19</v>
      </c>
      <c r="I24" s="12">
        <v>0</v>
      </c>
    </row>
    <row r="25" spans="2:9" ht="15" customHeight="1" x14ac:dyDescent="0.2">
      <c r="B25" t="s">
        <v>114</v>
      </c>
      <c r="C25" s="12">
        <v>204</v>
      </c>
      <c r="D25" s="8">
        <v>9.16</v>
      </c>
      <c r="E25" s="12">
        <v>183</v>
      </c>
      <c r="F25" s="8">
        <v>16.11</v>
      </c>
      <c r="G25" s="12">
        <v>21</v>
      </c>
      <c r="H25" s="8">
        <v>1.93</v>
      </c>
      <c r="I25" s="12">
        <v>0</v>
      </c>
    </row>
    <row r="26" spans="2:9" ht="15" customHeight="1" x14ac:dyDescent="0.2">
      <c r="B26" t="s">
        <v>110</v>
      </c>
      <c r="C26" s="12">
        <v>196</v>
      </c>
      <c r="D26" s="8">
        <v>8.81</v>
      </c>
      <c r="E26" s="12">
        <v>58</v>
      </c>
      <c r="F26" s="8">
        <v>5.1100000000000003</v>
      </c>
      <c r="G26" s="12">
        <v>138</v>
      </c>
      <c r="H26" s="8">
        <v>12.67</v>
      </c>
      <c r="I26" s="12">
        <v>0</v>
      </c>
    </row>
    <row r="27" spans="2:9" ht="15" customHeight="1" x14ac:dyDescent="0.2">
      <c r="B27" t="s">
        <v>98</v>
      </c>
      <c r="C27" s="12">
        <v>159</v>
      </c>
      <c r="D27" s="8">
        <v>7.14</v>
      </c>
      <c r="E27" s="12">
        <v>30</v>
      </c>
      <c r="F27" s="8">
        <v>2.64</v>
      </c>
      <c r="G27" s="12">
        <v>129</v>
      </c>
      <c r="H27" s="8">
        <v>11.85</v>
      </c>
      <c r="I27" s="12">
        <v>0</v>
      </c>
    </row>
    <row r="28" spans="2:9" ht="15" customHeight="1" x14ac:dyDescent="0.2">
      <c r="B28" t="s">
        <v>99</v>
      </c>
      <c r="C28" s="12">
        <v>124</v>
      </c>
      <c r="D28" s="8">
        <v>5.57</v>
      </c>
      <c r="E28" s="12">
        <v>28</v>
      </c>
      <c r="F28" s="8">
        <v>2.46</v>
      </c>
      <c r="G28" s="12">
        <v>96</v>
      </c>
      <c r="H28" s="8">
        <v>8.82</v>
      </c>
      <c r="I28" s="12">
        <v>0</v>
      </c>
    </row>
    <row r="29" spans="2:9" ht="15" customHeight="1" x14ac:dyDescent="0.2">
      <c r="B29" t="s">
        <v>100</v>
      </c>
      <c r="C29" s="12">
        <v>111</v>
      </c>
      <c r="D29" s="8">
        <v>4.99</v>
      </c>
      <c r="E29" s="12">
        <v>24</v>
      </c>
      <c r="F29" s="8">
        <v>2.11</v>
      </c>
      <c r="G29" s="12">
        <v>87</v>
      </c>
      <c r="H29" s="8">
        <v>7.99</v>
      </c>
      <c r="I29" s="12">
        <v>0</v>
      </c>
    </row>
    <row r="30" spans="2:9" ht="15" customHeight="1" x14ac:dyDescent="0.2">
      <c r="B30" t="s">
        <v>108</v>
      </c>
      <c r="C30" s="12">
        <v>105</v>
      </c>
      <c r="D30" s="8">
        <v>4.72</v>
      </c>
      <c r="E30" s="12">
        <v>76</v>
      </c>
      <c r="F30" s="8">
        <v>6.69</v>
      </c>
      <c r="G30" s="12">
        <v>29</v>
      </c>
      <c r="H30" s="8">
        <v>2.66</v>
      </c>
      <c r="I30" s="12">
        <v>0</v>
      </c>
    </row>
    <row r="31" spans="2:9" ht="15" customHeight="1" x14ac:dyDescent="0.2">
      <c r="B31" t="s">
        <v>107</v>
      </c>
      <c r="C31" s="12">
        <v>91</v>
      </c>
      <c r="D31" s="8">
        <v>4.09</v>
      </c>
      <c r="E31" s="12">
        <v>54</v>
      </c>
      <c r="F31" s="8">
        <v>4.75</v>
      </c>
      <c r="G31" s="12">
        <v>37</v>
      </c>
      <c r="H31" s="8">
        <v>3.4</v>
      </c>
      <c r="I31" s="12">
        <v>0</v>
      </c>
    </row>
    <row r="32" spans="2:9" ht="15" customHeight="1" x14ac:dyDescent="0.2">
      <c r="B32" t="s">
        <v>116</v>
      </c>
      <c r="C32" s="12">
        <v>89</v>
      </c>
      <c r="D32" s="8">
        <v>4</v>
      </c>
      <c r="E32" s="12">
        <v>78</v>
      </c>
      <c r="F32" s="8">
        <v>6.87</v>
      </c>
      <c r="G32" s="12">
        <v>11</v>
      </c>
      <c r="H32" s="8">
        <v>1.01</v>
      </c>
      <c r="I32" s="12">
        <v>0</v>
      </c>
    </row>
    <row r="33" spans="2:9" ht="15" customHeight="1" x14ac:dyDescent="0.2">
      <c r="B33" t="s">
        <v>115</v>
      </c>
      <c r="C33" s="12">
        <v>65</v>
      </c>
      <c r="D33" s="8">
        <v>2.92</v>
      </c>
      <c r="E33" s="12">
        <v>50</v>
      </c>
      <c r="F33" s="8">
        <v>4.4000000000000004</v>
      </c>
      <c r="G33" s="12">
        <v>14</v>
      </c>
      <c r="H33" s="8">
        <v>1.29</v>
      </c>
      <c r="I33" s="12">
        <v>0</v>
      </c>
    </row>
    <row r="34" spans="2:9" ht="15" customHeight="1" x14ac:dyDescent="0.2">
      <c r="B34" t="s">
        <v>101</v>
      </c>
      <c r="C34" s="12">
        <v>63</v>
      </c>
      <c r="D34" s="8">
        <v>2.83</v>
      </c>
      <c r="E34" s="12">
        <v>25</v>
      </c>
      <c r="F34" s="8">
        <v>2.2000000000000002</v>
      </c>
      <c r="G34" s="12">
        <v>38</v>
      </c>
      <c r="H34" s="8">
        <v>3.49</v>
      </c>
      <c r="I34" s="12">
        <v>0</v>
      </c>
    </row>
    <row r="35" spans="2:9" ht="15" customHeight="1" x14ac:dyDescent="0.2">
      <c r="B35" t="s">
        <v>106</v>
      </c>
      <c r="C35" s="12">
        <v>57</v>
      </c>
      <c r="D35" s="8">
        <v>2.56</v>
      </c>
      <c r="E35" s="12">
        <v>44</v>
      </c>
      <c r="F35" s="8">
        <v>3.87</v>
      </c>
      <c r="G35" s="12">
        <v>13</v>
      </c>
      <c r="H35" s="8">
        <v>1.19</v>
      </c>
      <c r="I35" s="12">
        <v>0</v>
      </c>
    </row>
    <row r="36" spans="2:9" ht="15" customHeight="1" x14ac:dyDescent="0.2">
      <c r="B36" t="s">
        <v>129</v>
      </c>
      <c r="C36" s="12">
        <v>47</v>
      </c>
      <c r="D36" s="8">
        <v>2.11</v>
      </c>
      <c r="E36" s="12">
        <v>28</v>
      </c>
      <c r="F36" s="8">
        <v>2.46</v>
      </c>
      <c r="G36" s="12">
        <v>19</v>
      </c>
      <c r="H36" s="8">
        <v>1.74</v>
      </c>
      <c r="I36" s="12">
        <v>0</v>
      </c>
    </row>
    <row r="37" spans="2:9" ht="15" customHeight="1" x14ac:dyDescent="0.2">
      <c r="B37" t="s">
        <v>109</v>
      </c>
      <c r="C37" s="12">
        <v>44</v>
      </c>
      <c r="D37" s="8">
        <v>1.98</v>
      </c>
      <c r="E37" s="12">
        <v>10</v>
      </c>
      <c r="F37" s="8">
        <v>0.88</v>
      </c>
      <c r="G37" s="12">
        <v>34</v>
      </c>
      <c r="H37" s="8">
        <v>3.12</v>
      </c>
      <c r="I37" s="12">
        <v>0</v>
      </c>
    </row>
    <row r="38" spans="2:9" ht="15" customHeight="1" x14ac:dyDescent="0.2">
      <c r="B38" t="s">
        <v>140</v>
      </c>
      <c r="C38" s="12">
        <v>37</v>
      </c>
      <c r="D38" s="8">
        <v>1.66</v>
      </c>
      <c r="E38" s="12">
        <v>36</v>
      </c>
      <c r="F38" s="8">
        <v>3.17</v>
      </c>
      <c r="G38" s="12">
        <v>1</v>
      </c>
      <c r="H38" s="8">
        <v>0.09</v>
      </c>
      <c r="I38" s="12">
        <v>0</v>
      </c>
    </row>
    <row r="39" spans="2:9" ht="15" customHeight="1" x14ac:dyDescent="0.2">
      <c r="B39" t="s">
        <v>120</v>
      </c>
      <c r="C39" s="12">
        <v>36</v>
      </c>
      <c r="D39" s="8">
        <v>1.62</v>
      </c>
      <c r="E39" s="12">
        <v>14</v>
      </c>
      <c r="F39" s="8">
        <v>1.23</v>
      </c>
      <c r="G39" s="12">
        <v>22</v>
      </c>
      <c r="H39" s="8">
        <v>2.02</v>
      </c>
      <c r="I39" s="12">
        <v>0</v>
      </c>
    </row>
    <row r="40" spans="2:9" ht="15" customHeight="1" x14ac:dyDescent="0.2">
      <c r="B40" t="s">
        <v>112</v>
      </c>
      <c r="C40" s="12">
        <v>32</v>
      </c>
      <c r="D40" s="8">
        <v>1.44</v>
      </c>
      <c r="E40" s="12">
        <v>13</v>
      </c>
      <c r="F40" s="8">
        <v>1.1399999999999999</v>
      </c>
      <c r="G40" s="12">
        <v>19</v>
      </c>
      <c r="H40" s="8">
        <v>1.74</v>
      </c>
      <c r="I40" s="12">
        <v>0</v>
      </c>
    </row>
    <row r="41" spans="2:9" ht="15" customHeight="1" x14ac:dyDescent="0.2">
      <c r="B41" t="s">
        <v>117</v>
      </c>
      <c r="C41" s="12">
        <v>31</v>
      </c>
      <c r="D41" s="8">
        <v>1.39</v>
      </c>
      <c r="E41" s="12">
        <v>0</v>
      </c>
      <c r="F41" s="8">
        <v>0</v>
      </c>
      <c r="G41" s="12">
        <v>31</v>
      </c>
      <c r="H41" s="8">
        <v>2.85</v>
      </c>
      <c r="I41" s="12">
        <v>0</v>
      </c>
    </row>
    <row r="42" spans="2:9" ht="15" customHeight="1" x14ac:dyDescent="0.2">
      <c r="B42" t="s">
        <v>111</v>
      </c>
      <c r="C42" s="12">
        <v>30</v>
      </c>
      <c r="D42" s="8">
        <v>1.35</v>
      </c>
      <c r="E42" s="12">
        <v>22</v>
      </c>
      <c r="F42" s="8">
        <v>1.94</v>
      </c>
      <c r="G42" s="12">
        <v>8</v>
      </c>
      <c r="H42" s="8">
        <v>0.73</v>
      </c>
      <c r="I42" s="12">
        <v>0</v>
      </c>
    </row>
    <row r="43" spans="2:9" ht="15" customHeight="1" x14ac:dyDescent="0.2">
      <c r="B43" t="s">
        <v>105</v>
      </c>
      <c r="C43" s="12">
        <v>27</v>
      </c>
      <c r="D43" s="8">
        <v>1.21</v>
      </c>
      <c r="E43" s="12">
        <v>22</v>
      </c>
      <c r="F43" s="8">
        <v>1.94</v>
      </c>
      <c r="G43" s="12">
        <v>5</v>
      </c>
      <c r="H43" s="8">
        <v>0.46</v>
      </c>
      <c r="I43" s="12">
        <v>0</v>
      </c>
    </row>
    <row r="46" spans="2:9" ht="33" customHeight="1" x14ac:dyDescent="0.2">
      <c r="B46" t="s">
        <v>273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169</v>
      </c>
      <c r="C47" s="12">
        <v>106</v>
      </c>
      <c r="D47" s="8">
        <v>4.76</v>
      </c>
      <c r="E47" s="12">
        <v>104</v>
      </c>
      <c r="F47" s="8">
        <v>9.15</v>
      </c>
      <c r="G47" s="12">
        <v>2</v>
      </c>
      <c r="H47" s="8">
        <v>0.18</v>
      </c>
      <c r="I47" s="12">
        <v>0</v>
      </c>
    </row>
    <row r="48" spans="2:9" ht="15" customHeight="1" x14ac:dyDescent="0.2">
      <c r="B48" t="s">
        <v>171</v>
      </c>
      <c r="C48" s="12">
        <v>75</v>
      </c>
      <c r="D48" s="8">
        <v>3.37</v>
      </c>
      <c r="E48" s="12">
        <v>65</v>
      </c>
      <c r="F48" s="8">
        <v>5.72</v>
      </c>
      <c r="G48" s="12">
        <v>10</v>
      </c>
      <c r="H48" s="8">
        <v>0.92</v>
      </c>
      <c r="I48" s="12">
        <v>0</v>
      </c>
    </row>
    <row r="49" spans="2:9" ht="15" customHeight="1" x14ac:dyDescent="0.2">
      <c r="B49" t="s">
        <v>160</v>
      </c>
      <c r="C49" s="12">
        <v>68</v>
      </c>
      <c r="D49" s="8">
        <v>3.05</v>
      </c>
      <c r="E49" s="12">
        <v>18</v>
      </c>
      <c r="F49" s="8">
        <v>1.58</v>
      </c>
      <c r="G49" s="12">
        <v>50</v>
      </c>
      <c r="H49" s="8">
        <v>4.59</v>
      </c>
      <c r="I49" s="12">
        <v>0</v>
      </c>
    </row>
    <row r="50" spans="2:9" ht="15" customHeight="1" x14ac:dyDescent="0.2">
      <c r="B50" t="s">
        <v>168</v>
      </c>
      <c r="C50" s="12">
        <v>66</v>
      </c>
      <c r="D50" s="8">
        <v>2.96</v>
      </c>
      <c r="E50" s="12">
        <v>64</v>
      </c>
      <c r="F50" s="8">
        <v>5.63</v>
      </c>
      <c r="G50" s="12">
        <v>2</v>
      </c>
      <c r="H50" s="8">
        <v>0.18</v>
      </c>
      <c r="I50" s="12">
        <v>0</v>
      </c>
    </row>
    <row r="51" spans="2:9" ht="15" customHeight="1" x14ac:dyDescent="0.2">
      <c r="B51" t="s">
        <v>167</v>
      </c>
      <c r="C51" s="12">
        <v>60</v>
      </c>
      <c r="D51" s="8">
        <v>2.7</v>
      </c>
      <c r="E51" s="12">
        <v>58</v>
      </c>
      <c r="F51" s="8">
        <v>5.1100000000000003</v>
      </c>
      <c r="G51" s="12">
        <v>2</v>
      </c>
      <c r="H51" s="8">
        <v>0.18</v>
      </c>
      <c r="I51" s="12">
        <v>0</v>
      </c>
    </row>
    <row r="52" spans="2:9" ht="15" customHeight="1" x14ac:dyDescent="0.2">
      <c r="B52" t="s">
        <v>165</v>
      </c>
      <c r="C52" s="12">
        <v>58</v>
      </c>
      <c r="D52" s="8">
        <v>2.61</v>
      </c>
      <c r="E52" s="12">
        <v>53</v>
      </c>
      <c r="F52" s="8">
        <v>4.67</v>
      </c>
      <c r="G52" s="12">
        <v>5</v>
      </c>
      <c r="H52" s="8">
        <v>0.46</v>
      </c>
      <c r="I52" s="12">
        <v>0</v>
      </c>
    </row>
    <row r="53" spans="2:9" ht="15" customHeight="1" x14ac:dyDescent="0.2">
      <c r="B53" t="s">
        <v>215</v>
      </c>
      <c r="C53" s="12">
        <v>57</v>
      </c>
      <c r="D53" s="8">
        <v>2.56</v>
      </c>
      <c r="E53" s="12">
        <v>31</v>
      </c>
      <c r="F53" s="8">
        <v>2.73</v>
      </c>
      <c r="G53" s="12">
        <v>26</v>
      </c>
      <c r="H53" s="8">
        <v>2.39</v>
      </c>
      <c r="I53" s="12">
        <v>0</v>
      </c>
    </row>
    <row r="54" spans="2:9" ht="15" customHeight="1" x14ac:dyDescent="0.2">
      <c r="B54" t="s">
        <v>159</v>
      </c>
      <c r="C54" s="12">
        <v>51</v>
      </c>
      <c r="D54" s="8">
        <v>2.29</v>
      </c>
      <c r="E54" s="12">
        <v>5</v>
      </c>
      <c r="F54" s="8">
        <v>0.44</v>
      </c>
      <c r="G54" s="12">
        <v>46</v>
      </c>
      <c r="H54" s="8">
        <v>4.22</v>
      </c>
      <c r="I54" s="12">
        <v>0</v>
      </c>
    </row>
    <row r="55" spans="2:9" ht="15" customHeight="1" x14ac:dyDescent="0.2">
      <c r="B55" t="s">
        <v>152</v>
      </c>
      <c r="C55" s="12">
        <v>47</v>
      </c>
      <c r="D55" s="8">
        <v>2.11</v>
      </c>
      <c r="E55" s="12">
        <v>8</v>
      </c>
      <c r="F55" s="8">
        <v>0.7</v>
      </c>
      <c r="G55" s="12">
        <v>39</v>
      </c>
      <c r="H55" s="8">
        <v>3.58</v>
      </c>
      <c r="I55" s="12">
        <v>0</v>
      </c>
    </row>
    <row r="56" spans="2:9" ht="15" customHeight="1" x14ac:dyDescent="0.2">
      <c r="B56" t="s">
        <v>153</v>
      </c>
      <c r="C56" s="12">
        <v>47</v>
      </c>
      <c r="D56" s="8">
        <v>2.11</v>
      </c>
      <c r="E56" s="12">
        <v>11</v>
      </c>
      <c r="F56" s="8">
        <v>0.97</v>
      </c>
      <c r="G56" s="12">
        <v>36</v>
      </c>
      <c r="H56" s="8">
        <v>3.31</v>
      </c>
      <c r="I56" s="12">
        <v>0</v>
      </c>
    </row>
    <row r="57" spans="2:9" ht="15" customHeight="1" x14ac:dyDescent="0.2">
      <c r="B57" t="s">
        <v>198</v>
      </c>
      <c r="C57" s="12">
        <v>47</v>
      </c>
      <c r="D57" s="8">
        <v>2.11</v>
      </c>
      <c r="E57" s="12">
        <v>28</v>
      </c>
      <c r="F57" s="8">
        <v>2.46</v>
      </c>
      <c r="G57" s="12">
        <v>19</v>
      </c>
      <c r="H57" s="8">
        <v>1.74</v>
      </c>
      <c r="I57" s="12">
        <v>0</v>
      </c>
    </row>
    <row r="58" spans="2:9" ht="15" customHeight="1" x14ac:dyDescent="0.2">
      <c r="B58" t="s">
        <v>161</v>
      </c>
      <c r="C58" s="12">
        <v>46</v>
      </c>
      <c r="D58" s="8">
        <v>2.0699999999999998</v>
      </c>
      <c r="E58" s="12">
        <v>34</v>
      </c>
      <c r="F58" s="8">
        <v>2.99</v>
      </c>
      <c r="G58" s="12">
        <v>12</v>
      </c>
      <c r="H58" s="8">
        <v>1.1000000000000001</v>
      </c>
      <c r="I58" s="12">
        <v>0</v>
      </c>
    </row>
    <row r="59" spans="2:9" ht="15" customHeight="1" x14ac:dyDescent="0.2">
      <c r="B59" t="s">
        <v>174</v>
      </c>
      <c r="C59" s="12">
        <v>44</v>
      </c>
      <c r="D59" s="8">
        <v>1.98</v>
      </c>
      <c r="E59" s="12">
        <v>9</v>
      </c>
      <c r="F59" s="8">
        <v>0.79</v>
      </c>
      <c r="G59" s="12">
        <v>35</v>
      </c>
      <c r="H59" s="8">
        <v>3.21</v>
      </c>
      <c r="I59" s="12">
        <v>0</v>
      </c>
    </row>
    <row r="60" spans="2:9" ht="15" customHeight="1" x14ac:dyDescent="0.2">
      <c r="B60" t="s">
        <v>190</v>
      </c>
      <c r="C60" s="12">
        <v>42</v>
      </c>
      <c r="D60" s="8">
        <v>1.89</v>
      </c>
      <c r="E60" s="12">
        <v>6</v>
      </c>
      <c r="F60" s="8">
        <v>0.53</v>
      </c>
      <c r="G60" s="12">
        <v>36</v>
      </c>
      <c r="H60" s="8">
        <v>3.31</v>
      </c>
      <c r="I60" s="12">
        <v>0</v>
      </c>
    </row>
    <row r="61" spans="2:9" ht="15" customHeight="1" x14ac:dyDescent="0.2">
      <c r="B61" t="s">
        <v>170</v>
      </c>
      <c r="C61" s="12">
        <v>39</v>
      </c>
      <c r="D61" s="8">
        <v>1.75</v>
      </c>
      <c r="E61" s="12">
        <v>32</v>
      </c>
      <c r="F61" s="8">
        <v>2.82</v>
      </c>
      <c r="G61" s="12">
        <v>7</v>
      </c>
      <c r="H61" s="8">
        <v>0.64</v>
      </c>
      <c r="I61" s="12">
        <v>0</v>
      </c>
    </row>
    <row r="62" spans="2:9" ht="15" customHeight="1" x14ac:dyDescent="0.2">
      <c r="B62" t="s">
        <v>210</v>
      </c>
      <c r="C62" s="12">
        <v>38</v>
      </c>
      <c r="D62" s="8">
        <v>1.71</v>
      </c>
      <c r="E62" s="12">
        <v>7</v>
      </c>
      <c r="F62" s="8">
        <v>0.62</v>
      </c>
      <c r="G62" s="12">
        <v>31</v>
      </c>
      <c r="H62" s="8">
        <v>2.85</v>
      </c>
      <c r="I62" s="12">
        <v>0</v>
      </c>
    </row>
    <row r="63" spans="2:9" ht="15" customHeight="1" x14ac:dyDescent="0.2">
      <c r="B63" t="s">
        <v>157</v>
      </c>
      <c r="C63" s="12">
        <v>38</v>
      </c>
      <c r="D63" s="8">
        <v>1.71</v>
      </c>
      <c r="E63" s="12">
        <v>32</v>
      </c>
      <c r="F63" s="8">
        <v>2.82</v>
      </c>
      <c r="G63" s="12">
        <v>6</v>
      </c>
      <c r="H63" s="8">
        <v>0.55000000000000004</v>
      </c>
      <c r="I63" s="12">
        <v>0</v>
      </c>
    </row>
    <row r="64" spans="2:9" ht="15" customHeight="1" x14ac:dyDescent="0.2">
      <c r="B64" t="s">
        <v>212</v>
      </c>
      <c r="C64" s="12">
        <v>36</v>
      </c>
      <c r="D64" s="8">
        <v>1.62</v>
      </c>
      <c r="E64" s="12">
        <v>36</v>
      </c>
      <c r="F64" s="8">
        <v>3.17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191</v>
      </c>
      <c r="C65" s="12">
        <v>35</v>
      </c>
      <c r="D65" s="8">
        <v>1.57</v>
      </c>
      <c r="E65" s="12">
        <v>8</v>
      </c>
      <c r="F65" s="8">
        <v>0.7</v>
      </c>
      <c r="G65" s="12">
        <v>27</v>
      </c>
      <c r="H65" s="8">
        <v>2.48</v>
      </c>
      <c r="I65" s="12">
        <v>0</v>
      </c>
    </row>
    <row r="66" spans="2:9" ht="15" customHeight="1" x14ac:dyDescent="0.2">
      <c r="B66" t="s">
        <v>158</v>
      </c>
      <c r="C66" s="12">
        <v>34</v>
      </c>
      <c r="D66" s="8">
        <v>1.53</v>
      </c>
      <c r="E66" s="12">
        <v>9</v>
      </c>
      <c r="F66" s="8">
        <v>0.79</v>
      </c>
      <c r="G66" s="12">
        <v>25</v>
      </c>
      <c r="H66" s="8">
        <v>2.2999999999999998</v>
      </c>
      <c r="I66" s="12">
        <v>0</v>
      </c>
    </row>
    <row r="68" spans="2:9" ht="15" customHeight="1" x14ac:dyDescent="0.2">
      <c r="B68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2A6AC-28FA-4A20-9083-18C298A1892C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303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148</v>
      </c>
      <c r="D6" s="8">
        <v>11.15</v>
      </c>
      <c r="E6" s="12">
        <v>35</v>
      </c>
      <c r="F6" s="8">
        <v>4.32</v>
      </c>
      <c r="G6" s="12">
        <v>113</v>
      </c>
      <c r="H6" s="8">
        <v>21.98</v>
      </c>
      <c r="I6" s="12">
        <v>0</v>
      </c>
    </row>
    <row r="7" spans="2:9" ht="15" customHeight="1" x14ac:dyDescent="0.2">
      <c r="B7" t="s">
        <v>77</v>
      </c>
      <c r="C7" s="12">
        <v>75</v>
      </c>
      <c r="D7" s="8">
        <v>5.65</v>
      </c>
      <c r="E7" s="12">
        <v>30</v>
      </c>
      <c r="F7" s="8">
        <v>3.7</v>
      </c>
      <c r="G7" s="12">
        <v>45</v>
      </c>
      <c r="H7" s="8">
        <v>8.75</v>
      </c>
      <c r="I7" s="12">
        <v>0</v>
      </c>
    </row>
    <row r="8" spans="2:9" ht="15" customHeight="1" x14ac:dyDescent="0.2">
      <c r="B8" t="s">
        <v>78</v>
      </c>
      <c r="C8" s="12">
        <v>1</v>
      </c>
      <c r="D8" s="8">
        <v>0.08</v>
      </c>
      <c r="E8" s="12">
        <v>0</v>
      </c>
      <c r="F8" s="8">
        <v>0</v>
      </c>
      <c r="G8" s="12">
        <v>1</v>
      </c>
      <c r="H8" s="8">
        <v>0.19</v>
      </c>
      <c r="I8" s="12">
        <v>0</v>
      </c>
    </row>
    <row r="9" spans="2:9" ht="15" customHeight="1" x14ac:dyDescent="0.2">
      <c r="B9" t="s">
        <v>79</v>
      </c>
      <c r="C9" s="12">
        <v>10</v>
      </c>
      <c r="D9" s="8">
        <v>0.75</v>
      </c>
      <c r="E9" s="12">
        <v>0</v>
      </c>
      <c r="F9" s="8">
        <v>0</v>
      </c>
      <c r="G9" s="12">
        <v>10</v>
      </c>
      <c r="H9" s="8">
        <v>1.95</v>
      </c>
      <c r="I9" s="12">
        <v>0</v>
      </c>
    </row>
    <row r="10" spans="2:9" ht="15" customHeight="1" x14ac:dyDescent="0.2">
      <c r="B10" t="s">
        <v>80</v>
      </c>
      <c r="C10" s="12">
        <v>15</v>
      </c>
      <c r="D10" s="8">
        <v>1.1299999999999999</v>
      </c>
      <c r="E10" s="12">
        <v>7</v>
      </c>
      <c r="F10" s="8">
        <v>0.86</v>
      </c>
      <c r="G10" s="12">
        <v>8</v>
      </c>
      <c r="H10" s="8">
        <v>1.56</v>
      </c>
      <c r="I10" s="12">
        <v>0</v>
      </c>
    </row>
    <row r="11" spans="2:9" ht="15" customHeight="1" x14ac:dyDescent="0.2">
      <c r="B11" t="s">
        <v>81</v>
      </c>
      <c r="C11" s="12">
        <v>247</v>
      </c>
      <c r="D11" s="8">
        <v>18.61</v>
      </c>
      <c r="E11" s="12">
        <v>145</v>
      </c>
      <c r="F11" s="8">
        <v>17.88</v>
      </c>
      <c r="G11" s="12">
        <v>102</v>
      </c>
      <c r="H11" s="8">
        <v>19.84</v>
      </c>
      <c r="I11" s="12">
        <v>0</v>
      </c>
    </row>
    <row r="12" spans="2:9" ht="15" customHeight="1" x14ac:dyDescent="0.2">
      <c r="B12" t="s">
        <v>82</v>
      </c>
      <c r="C12" s="12">
        <v>3</v>
      </c>
      <c r="D12" s="8">
        <v>0.23</v>
      </c>
      <c r="E12" s="12">
        <v>0</v>
      </c>
      <c r="F12" s="8">
        <v>0</v>
      </c>
      <c r="G12" s="12">
        <v>3</v>
      </c>
      <c r="H12" s="8">
        <v>0.57999999999999996</v>
      </c>
      <c r="I12" s="12">
        <v>0</v>
      </c>
    </row>
    <row r="13" spans="2:9" ht="15" customHeight="1" x14ac:dyDescent="0.2">
      <c r="B13" t="s">
        <v>83</v>
      </c>
      <c r="C13" s="12">
        <v>182</v>
      </c>
      <c r="D13" s="8">
        <v>13.72</v>
      </c>
      <c r="E13" s="12">
        <v>69</v>
      </c>
      <c r="F13" s="8">
        <v>8.51</v>
      </c>
      <c r="G13" s="12">
        <v>113</v>
      </c>
      <c r="H13" s="8">
        <v>21.98</v>
      </c>
      <c r="I13" s="12">
        <v>0</v>
      </c>
    </row>
    <row r="14" spans="2:9" ht="15" customHeight="1" x14ac:dyDescent="0.2">
      <c r="B14" t="s">
        <v>84</v>
      </c>
      <c r="C14" s="12">
        <v>55</v>
      </c>
      <c r="D14" s="8">
        <v>4.1399999999999997</v>
      </c>
      <c r="E14" s="12">
        <v>34</v>
      </c>
      <c r="F14" s="8">
        <v>4.1900000000000004</v>
      </c>
      <c r="G14" s="12">
        <v>20</v>
      </c>
      <c r="H14" s="8">
        <v>3.89</v>
      </c>
      <c r="I14" s="12">
        <v>1</v>
      </c>
    </row>
    <row r="15" spans="2:9" ht="15" customHeight="1" x14ac:dyDescent="0.2">
      <c r="B15" t="s">
        <v>85</v>
      </c>
      <c r="C15" s="12">
        <v>157</v>
      </c>
      <c r="D15" s="8">
        <v>11.83</v>
      </c>
      <c r="E15" s="12">
        <v>148</v>
      </c>
      <c r="F15" s="8">
        <v>18.25</v>
      </c>
      <c r="G15" s="12">
        <v>9</v>
      </c>
      <c r="H15" s="8">
        <v>1.75</v>
      </c>
      <c r="I15" s="12">
        <v>0</v>
      </c>
    </row>
    <row r="16" spans="2:9" ht="15" customHeight="1" x14ac:dyDescent="0.2">
      <c r="B16" t="s">
        <v>86</v>
      </c>
      <c r="C16" s="12">
        <v>240</v>
      </c>
      <c r="D16" s="8">
        <v>18.09</v>
      </c>
      <c r="E16" s="12">
        <v>203</v>
      </c>
      <c r="F16" s="8">
        <v>25.03</v>
      </c>
      <c r="G16" s="12">
        <v>37</v>
      </c>
      <c r="H16" s="8">
        <v>7.2</v>
      </c>
      <c r="I16" s="12">
        <v>0</v>
      </c>
    </row>
    <row r="17" spans="2:9" ht="15" customHeight="1" x14ac:dyDescent="0.2">
      <c r="B17" t="s">
        <v>87</v>
      </c>
      <c r="C17" s="12">
        <v>57</v>
      </c>
      <c r="D17" s="8">
        <v>4.3</v>
      </c>
      <c r="E17" s="12">
        <v>48</v>
      </c>
      <c r="F17" s="8">
        <v>5.92</v>
      </c>
      <c r="G17" s="12">
        <v>9</v>
      </c>
      <c r="H17" s="8">
        <v>1.75</v>
      </c>
      <c r="I17" s="12">
        <v>0</v>
      </c>
    </row>
    <row r="18" spans="2:9" ht="15" customHeight="1" x14ac:dyDescent="0.2">
      <c r="B18" t="s">
        <v>88</v>
      </c>
      <c r="C18" s="12">
        <v>101</v>
      </c>
      <c r="D18" s="8">
        <v>7.61</v>
      </c>
      <c r="E18" s="12">
        <v>76</v>
      </c>
      <c r="F18" s="8">
        <v>9.3699999999999992</v>
      </c>
      <c r="G18" s="12">
        <v>25</v>
      </c>
      <c r="H18" s="8">
        <v>4.8600000000000003</v>
      </c>
      <c r="I18" s="12">
        <v>0</v>
      </c>
    </row>
    <row r="19" spans="2:9" ht="15" customHeight="1" x14ac:dyDescent="0.2">
      <c r="B19" t="s">
        <v>89</v>
      </c>
      <c r="C19" s="12">
        <v>36</v>
      </c>
      <c r="D19" s="8">
        <v>2.71</v>
      </c>
      <c r="E19" s="12">
        <v>16</v>
      </c>
      <c r="F19" s="8">
        <v>1.97</v>
      </c>
      <c r="G19" s="12">
        <v>19</v>
      </c>
      <c r="H19" s="8">
        <v>3.7</v>
      </c>
      <c r="I19" s="12">
        <v>1</v>
      </c>
    </row>
    <row r="20" spans="2:9" ht="15" customHeight="1" x14ac:dyDescent="0.2">
      <c r="B20" s="9" t="s">
        <v>271</v>
      </c>
      <c r="C20" s="12">
        <f>SUM(LTBL_27143[総数／事業所数])</f>
        <v>1327</v>
      </c>
      <c r="E20" s="12">
        <f>SUBTOTAL(109,LTBL_27143[個人／事業所数])</f>
        <v>811</v>
      </c>
      <c r="G20" s="12">
        <f>SUBTOTAL(109,LTBL_27143[法人／事業所数])</f>
        <v>514</v>
      </c>
      <c r="I20" s="12">
        <f>SUBTOTAL(109,LTBL_27143[法人以外の団体／事業所数])</f>
        <v>2</v>
      </c>
    </row>
    <row r="21" spans="2:9" ht="15" customHeight="1" x14ac:dyDescent="0.2">
      <c r="E21" s="11">
        <f>LTBL_27143[[#Totals],[個人／事業所数]]/LTBL_27143[[#Totals],[総数／事業所数]]</f>
        <v>0.61115297663903545</v>
      </c>
      <c r="G21" s="11">
        <f>LTBL_27143[[#Totals],[法人／事業所数]]/LTBL_27143[[#Totals],[総数／事業所数]]</f>
        <v>0.38733986435568951</v>
      </c>
      <c r="I21" s="11">
        <f>LTBL_27143[[#Totals],[法人以外の団体／事業所数]]/LTBL_27143[[#Totals],[総数／事業所数]]</f>
        <v>1.5071590052750565E-3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114</v>
      </c>
      <c r="C24" s="12">
        <v>201</v>
      </c>
      <c r="D24" s="8">
        <v>15.15</v>
      </c>
      <c r="E24" s="12">
        <v>182</v>
      </c>
      <c r="F24" s="8">
        <v>22.44</v>
      </c>
      <c r="G24" s="12">
        <v>19</v>
      </c>
      <c r="H24" s="8">
        <v>3.7</v>
      </c>
      <c r="I24" s="12">
        <v>0</v>
      </c>
    </row>
    <row r="25" spans="2:9" ht="15" customHeight="1" x14ac:dyDescent="0.2">
      <c r="B25" t="s">
        <v>110</v>
      </c>
      <c r="C25" s="12">
        <v>145</v>
      </c>
      <c r="D25" s="8">
        <v>10.93</v>
      </c>
      <c r="E25" s="12">
        <v>60</v>
      </c>
      <c r="F25" s="8">
        <v>7.4</v>
      </c>
      <c r="G25" s="12">
        <v>85</v>
      </c>
      <c r="H25" s="8">
        <v>16.54</v>
      </c>
      <c r="I25" s="12">
        <v>0</v>
      </c>
    </row>
    <row r="26" spans="2:9" ht="15" customHeight="1" x14ac:dyDescent="0.2">
      <c r="B26" t="s">
        <v>113</v>
      </c>
      <c r="C26" s="12">
        <v>144</v>
      </c>
      <c r="D26" s="8">
        <v>10.85</v>
      </c>
      <c r="E26" s="12">
        <v>141</v>
      </c>
      <c r="F26" s="8">
        <v>17.39</v>
      </c>
      <c r="G26" s="12">
        <v>3</v>
      </c>
      <c r="H26" s="8">
        <v>0.57999999999999996</v>
      </c>
      <c r="I26" s="12">
        <v>0</v>
      </c>
    </row>
    <row r="27" spans="2:9" ht="15" customHeight="1" x14ac:dyDescent="0.2">
      <c r="B27" t="s">
        <v>116</v>
      </c>
      <c r="C27" s="12">
        <v>88</v>
      </c>
      <c r="D27" s="8">
        <v>6.63</v>
      </c>
      <c r="E27" s="12">
        <v>76</v>
      </c>
      <c r="F27" s="8">
        <v>9.3699999999999992</v>
      </c>
      <c r="G27" s="12">
        <v>12</v>
      </c>
      <c r="H27" s="8">
        <v>2.33</v>
      </c>
      <c r="I27" s="12">
        <v>0</v>
      </c>
    </row>
    <row r="28" spans="2:9" ht="15" customHeight="1" x14ac:dyDescent="0.2">
      <c r="B28" t="s">
        <v>108</v>
      </c>
      <c r="C28" s="12">
        <v>84</v>
      </c>
      <c r="D28" s="8">
        <v>6.33</v>
      </c>
      <c r="E28" s="12">
        <v>53</v>
      </c>
      <c r="F28" s="8">
        <v>6.54</v>
      </c>
      <c r="G28" s="12">
        <v>31</v>
      </c>
      <c r="H28" s="8">
        <v>6.03</v>
      </c>
      <c r="I28" s="12">
        <v>0</v>
      </c>
    </row>
    <row r="29" spans="2:9" ht="15" customHeight="1" x14ac:dyDescent="0.2">
      <c r="B29" t="s">
        <v>115</v>
      </c>
      <c r="C29" s="12">
        <v>57</v>
      </c>
      <c r="D29" s="8">
        <v>4.3</v>
      </c>
      <c r="E29" s="12">
        <v>48</v>
      </c>
      <c r="F29" s="8">
        <v>5.92</v>
      </c>
      <c r="G29" s="12">
        <v>9</v>
      </c>
      <c r="H29" s="8">
        <v>1.75</v>
      </c>
      <c r="I29" s="12">
        <v>0</v>
      </c>
    </row>
    <row r="30" spans="2:9" ht="15" customHeight="1" x14ac:dyDescent="0.2">
      <c r="B30" t="s">
        <v>98</v>
      </c>
      <c r="C30" s="12">
        <v>56</v>
      </c>
      <c r="D30" s="8">
        <v>4.22</v>
      </c>
      <c r="E30" s="12">
        <v>15</v>
      </c>
      <c r="F30" s="8">
        <v>1.85</v>
      </c>
      <c r="G30" s="12">
        <v>41</v>
      </c>
      <c r="H30" s="8">
        <v>7.98</v>
      </c>
      <c r="I30" s="12">
        <v>0</v>
      </c>
    </row>
    <row r="31" spans="2:9" ht="15" customHeight="1" x14ac:dyDescent="0.2">
      <c r="B31" t="s">
        <v>99</v>
      </c>
      <c r="C31" s="12">
        <v>51</v>
      </c>
      <c r="D31" s="8">
        <v>3.84</v>
      </c>
      <c r="E31" s="12">
        <v>8</v>
      </c>
      <c r="F31" s="8">
        <v>0.99</v>
      </c>
      <c r="G31" s="12">
        <v>43</v>
      </c>
      <c r="H31" s="8">
        <v>8.3699999999999992</v>
      </c>
      <c r="I31" s="12">
        <v>0</v>
      </c>
    </row>
    <row r="32" spans="2:9" ht="15" customHeight="1" x14ac:dyDescent="0.2">
      <c r="B32" t="s">
        <v>106</v>
      </c>
      <c r="C32" s="12">
        <v>49</v>
      </c>
      <c r="D32" s="8">
        <v>3.69</v>
      </c>
      <c r="E32" s="12">
        <v>43</v>
      </c>
      <c r="F32" s="8">
        <v>5.3</v>
      </c>
      <c r="G32" s="12">
        <v>6</v>
      </c>
      <c r="H32" s="8">
        <v>1.17</v>
      </c>
      <c r="I32" s="12">
        <v>0</v>
      </c>
    </row>
    <row r="33" spans="2:9" ht="15" customHeight="1" x14ac:dyDescent="0.2">
      <c r="B33" t="s">
        <v>100</v>
      </c>
      <c r="C33" s="12">
        <v>41</v>
      </c>
      <c r="D33" s="8">
        <v>3.09</v>
      </c>
      <c r="E33" s="12">
        <v>12</v>
      </c>
      <c r="F33" s="8">
        <v>1.48</v>
      </c>
      <c r="G33" s="12">
        <v>29</v>
      </c>
      <c r="H33" s="8">
        <v>5.64</v>
      </c>
      <c r="I33" s="12">
        <v>0</v>
      </c>
    </row>
    <row r="34" spans="2:9" ht="15" customHeight="1" x14ac:dyDescent="0.2">
      <c r="B34" t="s">
        <v>111</v>
      </c>
      <c r="C34" s="12">
        <v>35</v>
      </c>
      <c r="D34" s="8">
        <v>2.64</v>
      </c>
      <c r="E34" s="12">
        <v>23</v>
      </c>
      <c r="F34" s="8">
        <v>2.84</v>
      </c>
      <c r="G34" s="12">
        <v>11</v>
      </c>
      <c r="H34" s="8">
        <v>2.14</v>
      </c>
      <c r="I34" s="12">
        <v>1</v>
      </c>
    </row>
    <row r="35" spans="2:9" ht="15" customHeight="1" x14ac:dyDescent="0.2">
      <c r="B35" t="s">
        <v>109</v>
      </c>
      <c r="C35" s="12">
        <v>30</v>
      </c>
      <c r="D35" s="8">
        <v>2.2599999999999998</v>
      </c>
      <c r="E35" s="12">
        <v>8</v>
      </c>
      <c r="F35" s="8">
        <v>0.99</v>
      </c>
      <c r="G35" s="12">
        <v>22</v>
      </c>
      <c r="H35" s="8">
        <v>4.28</v>
      </c>
      <c r="I35" s="12">
        <v>0</v>
      </c>
    </row>
    <row r="36" spans="2:9" ht="15" customHeight="1" x14ac:dyDescent="0.2">
      <c r="B36" t="s">
        <v>130</v>
      </c>
      <c r="C36" s="12">
        <v>28</v>
      </c>
      <c r="D36" s="8">
        <v>2.11</v>
      </c>
      <c r="E36" s="12">
        <v>14</v>
      </c>
      <c r="F36" s="8">
        <v>1.73</v>
      </c>
      <c r="G36" s="12">
        <v>14</v>
      </c>
      <c r="H36" s="8">
        <v>2.72</v>
      </c>
      <c r="I36" s="12">
        <v>0</v>
      </c>
    </row>
    <row r="37" spans="2:9" ht="15" customHeight="1" x14ac:dyDescent="0.2">
      <c r="B37" t="s">
        <v>105</v>
      </c>
      <c r="C37" s="12">
        <v>27</v>
      </c>
      <c r="D37" s="8">
        <v>2.0299999999999998</v>
      </c>
      <c r="E37" s="12">
        <v>21</v>
      </c>
      <c r="F37" s="8">
        <v>2.59</v>
      </c>
      <c r="G37" s="12">
        <v>6</v>
      </c>
      <c r="H37" s="8">
        <v>1.17</v>
      </c>
      <c r="I37" s="12">
        <v>0</v>
      </c>
    </row>
    <row r="38" spans="2:9" ht="15" customHeight="1" x14ac:dyDescent="0.2">
      <c r="B38" t="s">
        <v>104</v>
      </c>
      <c r="C38" s="12">
        <v>19</v>
      </c>
      <c r="D38" s="8">
        <v>1.43</v>
      </c>
      <c r="E38" s="12">
        <v>6</v>
      </c>
      <c r="F38" s="8">
        <v>0.74</v>
      </c>
      <c r="G38" s="12">
        <v>13</v>
      </c>
      <c r="H38" s="8">
        <v>2.5299999999999998</v>
      </c>
      <c r="I38" s="12">
        <v>0</v>
      </c>
    </row>
    <row r="39" spans="2:9" ht="15" customHeight="1" x14ac:dyDescent="0.2">
      <c r="B39" t="s">
        <v>112</v>
      </c>
      <c r="C39" s="12">
        <v>19</v>
      </c>
      <c r="D39" s="8">
        <v>1.43</v>
      </c>
      <c r="E39" s="12">
        <v>11</v>
      </c>
      <c r="F39" s="8">
        <v>1.36</v>
      </c>
      <c r="G39" s="12">
        <v>8</v>
      </c>
      <c r="H39" s="8">
        <v>1.56</v>
      </c>
      <c r="I39" s="12">
        <v>0</v>
      </c>
    </row>
    <row r="40" spans="2:9" ht="15" customHeight="1" x14ac:dyDescent="0.2">
      <c r="B40" t="s">
        <v>103</v>
      </c>
      <c r="C40" s="12">
        <v>18</v>
      </c>
      <c r="D40" s="8">
        <v>1.36</v>
      </c>
      <c r="E40" s="12">
        <v>4</v>
      </c>
      <c r="F40" s="8">
        <v>0.49</v>
      </c>
      <c r="G40" s="12">
        <v>14</v>
      </c>
      <c r="H40" s="8">
        <v>2.72</v>
      </c>
      <c r="I40" s="12">
        <v>0</v>
      </c>
    </row>
    <row r="41" spans="2:9" ht="15" customHeight="1" x14ac:dyDescent="0.2">
      <c r="B41" t="s">
        <v>107</v>
      </c>
      <c r="C41" s="12">
        <v>15</v>
      </c>
      <c r="D41" s="8">
        <v>1.1299999999999999</v>
      </c>
      <c r="E41" s="12">
        <v>13</v>
      </c>
      <c r="F41" s="8">
        <v>1.6</v>
      </c>
      <c r="G41" s="12">
        <v>2</v>
      </c>
      <c r="H41" s="8">
        <v>0.39</v>
      </c>
      <c r="I41" s="12">
        <v>0</v>
      </c>
    </row>
    <row r="42" spans="2:9" ht="15" customHeight="1" x14ac:dyDescent="0.2">
      <c r="B42" t="s">
        <v>119</v>
      </c>
      <c r="C42" s="12">
        <v>15</v>
      </c>
      <c r="D42" s="8">
        <v>1.1299999999999999</v>
      </c>
      <c r="E42" s="12">
        <v>1</v>
      </c>
      <c r="F42" s="8">
        <v>0.12</v>
      </c>
      <c r="G42" s="12">
        <v>14</v>
      </c>
      <c r="H42" s="8">
        <v>2.72</v>
      </c>
      <c r="I42" s="12">
        <v>0</v>
      </c>
    </row>
    <row r="43" spans="2:9" ht="15" customHeight="1" x14ac:dyDescent="0.2">
      <c r="B43" t="s">
        <v>117</v>
      </c>
      <c r="C43" s="12">
        <v>13</v>
      </c>
      <c r="D43" s="8">
        <v>0.98</v>
      </c>
      <c r="E43" s="12">
        <v>0</v>
      </c>
      <c r="F43" s="8">
        <v>0</v>
      </c>
      <c r="G43" s="12">
        <v>13</v>
      </c>
      <c r="H43" s="8">
        <v>2.5299999999999998</v>
      </c>
      <c r="I43" s="12">
        <v>0</v>
      </c>
    </row>
    <row r="46" spans="2:9" ht="33" customHeight="1" x14ac:dyDescent="0.2">
      <c r="B46" t="s">
        <v>273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169</v>
      </c>
      <c r="C47" s="12">
        <v>103</v>
      </c>
      <c r="D47" s="8">
        <v>7.76</v>
      </c>
      <c r="E47" s="12">
        <v>96</v>
      </c>
      <c r="F47" s="8">
        <v>11.84</v>
      </c>
      <c r="G47" s="12">
        <v>7</v>
      </c>
      <c r="H47" s="8">
        <v>1.36</v>
      </c>
      <c r="I47" s="12">
        <v>0</v>
      </c>
    </row>
    <row r="48" spans="2:9" ht="15" customHeight="1" x14ac:dyDescent="0.2">
      <c r="B48" t="s">
        <v>171</v>
      </c>
      <c r="C48" s="12">
        <v>66</v>
      </c>
      <c r="D48" s="8">
        <v>4.97</v>
      </c>
      <c r="E48" s="12">
        <v>58</v>
      </c>
      <c r="F48" s="8">
        <v>7.15</v>
      </c>
      <c r="G48" s="12">
        <v>8</v>
      </c>
      <c r="H48" s="8">
        <v>1.56</v>
      </c>
      <c r="I48" s="12">
        <v>0</v>
      </c>
    </row>
    <row r="49" spans="2:9" ht="15" customHeight="1" x14ac:dyDescent="0.2">
      <c r="B49" t="s">
        <v>160</v>
      </c>
      <c r="C49" s="12">
        <v>60</v>
      </c>
      <c r="D49" s="8">
        <v>4.5199999999999996</v>
      </c>
      <c r="E49" s="12">
        <v>16</v>
      </c>
      <c r="F49" s="8">
        <v>1.97</v>
      </c>
      <c r="G49" s="12">
        <v>44</v>
      </c>
      <c r="H49" s="8">
        <v>8.56</v>
      </c>
      <c r="I49" s="12">
        <v>0</v>
      </c>
    </row>
    <row r="50" spans="2:9" ht="15" customHeight="1" x14ac:dyDescent="0.2">
      <c r="B50" t="s">
        <v>168</v>
      </c>
      <c r="C50" s="12">
        <v>57</v>
      </c>
      <c r="D50" s="8">
        <v>4.3</v>
      </c>
      <c r="E50" s="12">
        <v>57</v>
      </c>
      <c r="F50" s="8">
        <v>7.03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161</v>
      </c>
      <c r="C51" s="12">
        <v>47</v>
      </c>
      <c r="D51" s="8">
        <v>3.54</v>
      </c>
      <c r="E51" s="12">
        <v>39</v>
      </c>
      <c r="F51" s="8">
        <v>4.8099999999999996</v>
      </c>
      <c r="G51" s="12">
        <v>8</v>
      </c>
      <c r="H51" s="8">
        <v>1.56</v>
      </c>
      <c r="I51" s="12">
        <v>0</v>
      </c>
    </row>
    <row r="52" spans="2:9" ht="15" customHeight="1" x14ac:dyDescent="0.2">
      <c r="B52" t="s">
        <v>165</v>
      </c>
      <c r="C52" s="12">
        <v>41</v>
      </c>
      <c r="D52" s="8">
        <v>3.09</v>
      </c>
      <c r="E52" s="12">
        <v>41</v>
      </c>
      <c r="F52" s="8">
        <v>5.0599999999999996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167</v>
      </c>
      <c r="C53" s="12">
        <v>35</v>
      </c>
      <c r="D53" s="8">
        <v>2.64</v>
      </c>
      <c r="E53" s="12">
        <v>34</v>
      </c>
      <c r="F53" s="8">
        <v>4.1900000000000004</v>
      </c>
      <c r="G53" s="12">
        <v>1</v>
      </c>
      <c r="H53" s="8">
        <v>0.19</v>
      </c>
      <c r="I53" s="12">
        <v>0</v>
      </c>
    </row>
    <row r="54" spans="2:9" ht="15" customHeight="1" x14ac:dyDescent="0.2">
      <c r="B54" t="s">
        <v>170</v>
      </c>
      <c r="C54" s="12">
        <v>35</v>
      </c>
      <c r="D54" s="8">
        <v>2.64</v>
      </c>
      <c r="E54" s="12">
        <v>31</v>
      </c>
      <c r="F54" s="8">
        <v>3.82</v>
      </c>
      <c r="G54" s="12">
        <v>4</v>
      </c>
      <c r="H54" s="8">
        <v>0.78</v>
      </c>
      <c r="I54" s="12">
        <v>0</v>
      </c>
    </row>
    <row r="55" spans="2:9" ht="15" customHeight="1" x14ac:dyDescent="0.2">
      <c r="B55" t="s">
        <v>157</v>
      </c>
      <c r="C55" s="12">
        <v>32</v>
      </c>
      <c r="D55" s="8">
        <v>2.41</v>
      </c>
      <c r="E55" s="12">
        <v>24</v>
      </c>
      <c r="F55" s="8">
        <v>2.96</v>
      </c>
      <c r="G55" s="12">
        <v>8</v>
      </c>
      <c r="H55" s="8">
        <v>1.56</v>
      </c>
      <c r="I55" s="12">
        <v>0</v>
      </c>
    </row>
    <row r="56" spans="2:9" ht="15" customHeight="1" x14ac:dyDescent="0.2">
      <c r="B56" t="s">
        <v>196</v>
      </c>
      <c r="C56" s="12">
        <v>27</v>
      </c>
      <c r="D56" s="8">
        <v>2.0299999999999998</v>
      </c>
      <c r="E56" s="12">
        <v>19</v>
      </c>
      <c r="F56" s="8">
        <v>2.34</v>
      </c>
      <c r="G56" s="12">
        <v>8</v>
      </c>
      <c r="H56" s="8">
        <v>1.56</v>
      </c>
      <c r="I56" s="12">
        <v>0</v>
      </c>
    </row>
    <row r="57" spans="2:9" ht="15" customHeight="1" x14ac:dyDescent="0.2">
      <c r="B57" t="s">
        <v>159</v>
      </c>
      <c r="C57" s="12">
        <v>24</v>
      </c>
      <c r="D57" s="8">
        <v>1.81</v>
      </c>
      <c r="E57" s="12">
        <v>4</v>
      </c>
      <c r="F57" s="8">
        <v>0.49</v>
      </c>
      <c r="G57" s="12">
        <v>20</v>
      </c>
      <c r="H57" s="8">
        <v>3.89</v>
      </c>
      <c r="I57" s="12">
        <v>0</v>
      </c>
    </row>
    <row r="58" spans="2:9" ht="15" customHeight="1" x14ac:dyDescent="0.2">
      <c r="B58" t="s">
        <v>158</v>
      </c>
      <c r="C58" s="12">
        <v>22</v>
      </c>
      <c r="D58" s="8">
        <v>1.66</v>
      </c>
      <c r="E58" s="12">
        <v>5</v>
      </c>
      <c r="F58" s="8">
        <v>0.62</v>
      </c>
      <c r="G58" s="12">
        <v>17</v>
      </c>
      <c r="H58" s="8">
        <v>3.31</v>
      </c>
      <c r="I58" s="12">
        <v>0</v>
      </c>
    </row>
    <row r="59" spans="2:9" ht="15" customHeight="1" x14ac:dyDescent="0.2">
      <c r="B59" t="s">
        <v>153</v>
      </c>
      <c r="C59" s="12">
        <v>21</v>
      </c>
      <c r="D59" s="8">
        <v>1.58</v>
      </c>
      <c r="E59" s="12">
        <v>8</v>
      </c>
      <c r="F59" s="8">
        <v>0.99</v>
      </c>
      <c r="G59" s="12">
        <v>13</v>
      </c>
      <c r="H59" s="8">
        <v>2.5299999999999998</v>
      </c>
      <c r="I59" s="12">
        <v>0</v>
      </c>
    </row>
    <row r="60" spans="2:9" ht="15" customHeight="1" x14ac:dyDescent="0.2">
      <c r="B60" t="s">
        <v>176</v>
      </c>
      <c r="C60" s="12">
        <v>21</v>
      </c>
      <c r="D60" s="8">
        <v>1.58</v>
      </c>
      <c r="E60" s="12">
        <v>9</v>
      </c>
      <c r="F60" s="8">
        <v>1.1100000000000001</v>
      </c>
      <c r="G60" s="12">
        <v>12</v>
      </c>
      <c r="H60" s="8">
        <v>2.33</v>
      </c>
      <c r="I60" s="12">
        <v>0</v>
      </c>
    </row>
    <row r="61" spans="2:9" ht="15" customHeight="1" x14ac:dyDescent="0.2">
      <c r="B61" t="s">
        <v>166</v>
      </c>
      <c r="C61" s="12">
        <v>21</v>
      </c>
      <c r="D61" s="8">
        <v>1.58</v>
      </c>
      <c r="E61" s="12">
        <v>21</v>
      </c>
      <c r="F61" s="8">
        <v>2.59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199</v>
      </c>
      <c r="C62" s="12">
        <v>20</v>
      </c>
      <c r="D62" s="8">
        <v>1.51</v>
      </c>
      <c r="E62" s="12">
        <v>17</v>
      </c>
      <c r="F62" s="8">
        <v>2.1</v>
      </c>
      <c r="G62" s="12">
        <v>3</v>
      </c>
      <c r="H62" s="8">
        <v>0.57999999999999996</v>
      </c>
      <c r="I62" s="12">
        <v>0</v>
      </c>
    </row>
    <row r="63" spans="2:9" ht="15" customHeight="1" x14ac:dyDescent="0.2">
      <c r="B63" t="s">
        <v>190</v>
      </c>
      <c r="C63" s="12">
        <v>17</v>
      </c>
      <c r="D63" s="8">
        <v>1.28</v>
      </c>
      <c r="E63" s="12">
        <v>3</v>
      </c>
      <c r="F63" s="8">
        <v>0.37</v>
      </c>
      <c r="G63" s="12">
        <v>14</v>
      </c>
      <c r="H63" s="8">
        <v>2.72</v>
      </c>
      <c r="I63" s="12">
        <v>0</v>
      </c>
    </row>
    <row r="64" spans="2:9" ht="15" customHeight="1" x14ac:dyDescent="0.2">
      <c r="B64" t="s">
        <v>164</v>
      </c>
      <c r="C64" s="12">
        <v>17</v>
      </c>
      <c r="D64" s="8">
        <v>1.28</v>
      </c>
      <c r="E64" s="12">
        <v>16</v>
      </c>
      <c r="F64" s="8">
        <v>1.97</v>
      </c>
      <c r="G64" s="12">
        <v>1</v>
      </c>
      <c r="H64" s="8">
        <v>0.19</v>
      </c>
      <c r="I64" s="12">
        <v>0</v>
      </c>
    </row>
    <row r="65" spans="2:9" ht="15" customHeight="1" x14ac:dyDescent="0.2">
      <c r="B65" t="s">
        <v>211</v>
      </c>
      <c r="C65" s="12">
        <v>17</v>
      </c>
      <c r="D65" s="8">
        <v>1.28</v>
      </c>
      <c r="E65" s="12">
        <v>16</v>
      </c>
      <c r="F65" s="8">
        <v>1.97</v>
      </c>
      <c r="G65" s="12">
        <v>1</v>
      </c>
      <c r="H65" s="8">
        <v>0.19</v>
      </c>
      <c r="I65" s="12">
        <v>0</v>
      </c>
    </row>
    <row r="66" spans="2:9" ht="15" customHeight="1" x14ac:dyDescent="0.2">
      <c r="B66" t="s">
        <v>152</v>
      </c>
      <c r="C66" s="12">
        <v>16</v>
      </c>
      <c r="D66" s="8">
        <v>1.21</v>
      </c>
      <c r="E66" s="12">
        <v>4</v>
      </c>
      <c r="F66" s="8">
        <v>0.49</v>
      </c>
      <c r="G66" s="12">
        <v>12</v>
      </c>
      <c r="H66" s="8">
        <v>2.33</v>
      </c>
      <c r="I66" s="12">
        <v>0</v>
      </c>
    </row>
    <row r="67" spans="2:9" ht="15" customHeight="1" x14ac:dyDescent="0.2">
      <c r="B67" t="s">
        <v>155</v>
      </c>
      <c r="C67" s="12">
        <v>16</v>
      </c>
      <c r="D67" s="8">
        <v>1.21</v>
      </c>
      <c r="E67" s="12">
        <v>12</v>
      </c>
      <c r="F67" s="8">
        <v>1.48</v>
      </c>
      <c r="G67" s="12">
        <v>4</v>
      </c>
      <c r="H67" s="8">
        <v>0.78</v>
      </c>
      <c r="I67" s="12">
        <v>0</v>
      </c>
    </row>
    <row r="68" spans="2:9" ht="15" customHeight="1" x14ac:dyDescent="0.2">
      <c r="B68" t="s">
        <v>223</v>
      </c>
      <c r="C68" s="12">
        <v>16</v>
      </c>
      <c r="D68" s="8">
        <v>1.21</v>
      </c>
      <c r="E68" s="12">
        <v>9</v>
      </c>
      <c r="F68" s="8">
        <v>1.1100000000000001</v>
      </c>
      <c r="G68" s="12">
        <v>7</v>
      </c>
      <c r="H68" s="8">
        <v>1.36</v>
      </c>
      <c r="I68" s="12">
        <v>0</v>
      </c>
    </row>
    <row r="70" spans="2:9" ht="15" customHeight="1" x14ac:dyDescent="0.2">
      <c r="B70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72035-86BE-4E2D-B6B4-FA000F69369C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304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350</v>
      </c>
      <c r="D6" s="8">
        <v>14.63</v>
      </c>
      <c r="E6" s="12">
        <v>66</v>
      </c>
      <c r="F6" s="8">
        <v>5.63</v>
      </c>
      <c r="G6" s="12">
        <v>284</v>
      </c>
      <c r="H6" s="8">
        <v>23.32</v>
      </c>
      <c r="I6" s="12">
        <v>0</v>
      </c>
    </row>
    <row r="7" spans="2:9" ht="15" customHeight="1" x14ac:dyDescent="0.2">
      <c r="B7" t="s">
        <v>77</v>
      </c>
      <c r="C7" s="12">
        <v>251</v>
      </c>
      <c r="D7" s="8">
        <v>10.49</v>
      </c>
      <c r="E7" s="12">
        <v>80</v>
      </c>
      <c r="F7" s="8">
        <v>6.83</v>
      </c>
      <c r="G7" s="12">
        <v>171</v>
      </c>
      <c r="H7" s="8">
        <v>14.04</v>
      </c>
      <c r="I7" s="12">
        <v>0</v>
      </c>
    </row>
    <row r="8" spans="2:9" ht="15" customHeight="1" x14ac:dyDescent="0.2">
      <c r="B8" t="s">
        <v>78</v>
      </c>
      <c r="C8" s="12">
        <v>2</v>
      </c>
      <c r="D8" s="8">
        <v>0.08</v>
      </c>
      <c r="E8" s="12">
        <v>0</v>
      </c>
      <c r="F8" s="8">
        <v>0</v>
      </c>
      <c r="G8" s="12">
        <v>2</v>
      </c>
      <c r="H8" s="8">
        <v>0.16</v>
      </c>
      <c r="I8" s="12">
        <v>0</v>
      </c>
    </row>
    <row r="9" spans="2:9" ht="15" customHeight="1" x14ac:dyDescent="0.2">
      <c r="B9" t="s">
        <v>79</v>
      </c>
      <c r="C9" s="12">
        <v>12</v>
      </c>
      <c r="D9" s="8">
        <v>0.5</v>
      </c>
      <c r="E9" s="12">
        <v>0</v>
      </c>
      <c r="F9" s="8">
        <v>0</v>
      </c>
      <c r="G9" s="12">
        <v>12</v>
      </c>
      <c r="H9" s="8">
        <v>0.99</v>
      </c>
      <c r="I9" s="12">
        <v>0</v>
      </c>
    </row>
    <row r="10" spans="2:9" ht="15" customHeight="1" x14ac:dyDescent="0.2">
      <c r="B10" t="s">
        <v>80</v>
      </c>
      <c r="C10" s="12">
        <v>50</v>
      </c>
      <c r="D10" s="8">
        <v>2.09</v>
      </c>
      <c r="E10" s="12">
        <v>17</v>
      </c>
      <c r="F10" s="8">
        <v>1.45</v>
      </c>
      <c r="G10" s="12">
        <v>32</v>
      </c>
      <c r="H10" s="8">
        <v>2.63</v>
      </c>
      <c r="I10" s="12">
        <v>0</v>
      </c>
    </row>
    <row r="11" spans="2:9" ht="15" customHeight="1" x14ac:dyDescent="0.2">
      <c r="B11" t="s">
        <v>81</v>
      </c>
      <c r="C11" s="12">
        <v>501</v>
      </c>
      <c r="D11" s="8">
        <v>20.94</v>
      </c>
      <c r="E11" s="12">
        <v>263</v>
      </c>
      <c r="F11" s="8">
        <v>22.44</v>
      </c>
      <c r="G11" s="12">
        <v>238</v>
      </c>
      <c r="H11" s="8">
        <v>19.54</v>
      </c>
      <c r="I11" s="12">
        <v>0</v>
      </c>
    </row>
    <row r="12" spans="2:9" ht="15" customHeight="1" x14ac:dyDescent="0.2">
      <c r="B12" t="s">
        <v>82</v>
      </c>
      <c r="C12" s="12">
        <v>15</v>
      </c>
      <c r="D12" s="8">
        <v>0.63</v>
      </c>
      <c r="E12" s="12">
        <v>0</v>
      </c>
      <c r="F12" s="8">
        <v>0</v>
      </c>
      <c r="G12" s="12">
        <v>15</v>
      </c>
      <c r="H12" s="8">
        <v>1.23</v>
      </c>
      <c r="I12" s="12">
        <v>0</v>
      </c>
    </row>
    <row r="13" spans="2:9" ht="15" customHeight="1" x14ac:dyDescent="0.2">
      <c r="B13" t="s">
        <v>83</v>
      </c>
      <c r="C13" s="12">
        <v>262</v>
      </c>
      <c r="D13" s="8">
        <v>10.95</v>
      </c>
      <c r="E13" s="12">
        <v>68</v>
      </c>
      <c r="F13" s="8">
        <v>5.8</v>
      </c>
      <c r="G13" s="12">
        <v>194</v>
      </c>
      <c r="H13" s="8">
        <v>15.93</v>
      </c>
      <c r="I13" s="12">
        <v>0</v>
      </c>
    </row>
    <row r="14" spans="2:9" ht="15" customHeight="1" x14ac:dyDescent="0.2">
      <c r="B14" t="s">
        <v>84</v>
      </c>
      <c r="C14" s="12">
        <v>88</v>
      </c>
      <c r="D14" s="8">
        <v>3.68</v>
      </c>
      <c r="E14" s="12">
        <v>34</v>
      </c>
      <c r="F14" s="8">
        <v>2.9</v>
      </c>
      <c r="G14" s="12">
        <v>54</v>
      </c>
      <c r="H14" s="8">
        <v>4.43</v>
      </c>
      <c r="I14" s="12">
        <v>0</v>
      </c>
    </row>
    <row r="15" spans="2:9" ht="15" customHeight="1" x14ac:dyDescent="0.2">
      <c r="B15" t="s">
        <v>85</v>
      </c>
      <c r="C15" s="12">
        <v>272</v>
      </c>
      <c r="D15" s="8">
        <v>11.37</v>
      </c>
      <c r="E15" s="12">
        <v>230</v>
      </c>
      <c r="F15" s="8">
        <v>19.62</v>
      </c>
      <c r="G15" s="12">
        <v>42</v>
      </c>
      <c r="H15" s="8">
        <v>3.45</v>
      </c>
      <c r="I15" s="12">
        <v>0</v>
      </c>
    </row>
    <row r="16" spans="2:9" ht="15" customHeight="1" x14ac:dyDescent="0.2">
      <c r="B16" t="s">
        <v>86</v>
      </c>
      <c r="C16" s="12">
        <v>288</v>
      </c>
      <c r="D16" s="8">
        <v>12.04</v>
      </c>
      <c r="E16" s="12">
        <v>238</v>
      </c>
      <c r="F16" s="8">
        <v>20.309999999999999</v>
      </c>
      <c r="G16" s="12">
        <v>50</v>
      </c>
      <c r="H16" s="8">
        <v>4.1100000000000003</v>
      </c>
      <c r="I16" s="12">
        <v>0</v>
      </c>
    </row>
    <row r="17" spans="2:9" ht="15" customHeight="1" x14ac:dyDescent="0.2">
      <c r="B17" t="s">
        <v>87</v>
      </c>
      <c r="C17" s="12">
        <v>87</v>
      </c>
      <c r="D17" s="8">
        <v>3.64</v>
      </c>
      <c r="E17" s="12">
        <v>64</v>
      </c>
      <c r="F17" s="8">
        <v>5.46</v>
      </c>
      <c r="G17" s="12">
        <v>22</v>
      </c>
      <c r="H17" s="8">
        <v>1.81</v>
      </c>
      <c r="I17" s="12">
        <v>1</v>
      </c>
    </row>
    <row r="18" spans="2:9" ht="15" customHeight="1" x14ac:dyDescent="0.2">
      <c r="B18" t="s">
        <v>88</v>
      </c>
      <c r="C18" s="12">
        <v>136</v>
      </c>
      <c r="D18" s="8">
        <v>5.68</v>
      </c>
      <c r="E18" s="12">
        <v>84</v>
      </c>
      <c r="F18" s="8">
        <v>7.17</v>
      </c>
      <c r="G18" s="12">
        <v>52</v>
      </c>
      <c r="H18" s="8">
        <v>4.2699999999999996</v>
      </c>
      <c r="I18" s="12">
        <v>0</v>
      </c>
    </row>
    <row r="19" spans="2:9" ht="15" customHeight="1" x14ac:dyDescent="0.2">
      <c r="B19" t="s">
        <v>89</v>
      </c>
      <c r="C19" s="12">
        <v>79</v>
      </c>
      <c r="D19" s="8">
        <v>3.3</v>
      </c>
      <c r="E19" s="12">
        <v>28</v>
      </c>
      <c r="F19" s="8">
        <v>2.39</v>
      </c>
      <c r="G19" s="12">
        <v>50</v>
      </c>
      <c r="H19" s="8">
        <v>4.1100000000000003</v>
      </c>
      <c r="I19" s="12">
        <v>1</v>
      </c>
    </row>
    <row r="20" spans="2:9" ht="15" customHeight="1" x14ac:dyDescent="0.2">
      <c r="B20" s="9" t="s">
        <v>271</v>
      </c>
      <c r="C20" s="12">
        <f>SUM(LTBL_27144[総数／事業所数])</f>
        <v>2393</v>
      </c>
      <c r="E20" s="12">
        <f>SUBTOTAL(109,LTBL_27144[個人／事業所数])</f>
        <v>1172</v>
      </c>
      <c r="G20" s="12">
        <f>SUBTOTAL(109,LTBL_27144[法人／事業所数])</f>
        <v>1218</v>
      </c>
      <c r="I20" s="12">
        <f>SUBTOTAL(109,LTBL_27144[法人以外の団体／事業所数])</f>
        <v>2</v>
      </c>
    </row>
    <row r="21" spans="2:9" ht="15" customHeight="1" x14ac:dyDescent="0.2">
      <c r="E21" s="11">
        <f>LTBL_27144[[#Totals],[個人／事業所数]]/LTBL_27144[[#Totals],[総数／事業所数]]</f>
        <v>0.48976180526535729</v>
      </c>
      <c r="G21" s="11">
        <f>LTBL_27144[[#Totals],[法人／事業所数]]/LTBL_27144[[#Totals],[総数／事業所数]]</f>
        <v>0.50898453823652323</v>
      </c>
      <c r="I21" s="11">
        <f>LTBL_27144[[#Totals],[法人以外の団体／事業所数]]/LTBL_27144[[#Totals],[総数／事業所数]]</f>
        <v>8.3577099874634355E-4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113</v>
      </c>
      <c r="C24" s="12">
        <v>245</v>
      </c>
      <c r="D24" s="8">
        <v>10.24</v>
      </c>
      <c r="E24" s="12">
        <v>223</v>
      </c>
      <c r="F24" s="8">
        <v>19.03</v>
      </c>
      <c r="G24" s="12">
        <v>22</v>
      </c>
      <c r="H24" s="8">
        <v>1.81</v>
      </c>
      <c r="I24" s="12">
        <v>0</v>
      </c>
    </row>
    <row r="25" spans="2:9" ht="15" customHeight="1" x14ac:dyDescent="0.2">
      <c r="B25" t="s">
        <v>114</v>
      </c>
      <c r="C25" s="12">
        <v>240</v>
      </c>
      <c r="D25" s="8">
        <v>10.029999999999999</v>
      </c>
      <c r="E25" s="12">
        <v>214</v>
      </c>
      <c r="F25" s="8">
        <v>18.260000000000002</v>
      </c>
      <c r="G25" s="12">
        <v>26</v>
      </c>
      <c r="H25" s="8">
        <v>2.13</v>
      </c>
      <c r="I25" s="12">
        <v>0</v>
      </c>
    </row>
    <row r="26" spans="2:9" ht="15" customHeight="1" x14ac:dyDescent="0.2">
      <c r="B26" t="s">
        <v>110</v>
      </c>
      <c r="C26" s="12">
        <v>206</v>
      </c>
      <c r="D26" s="8">
        <v>8.61</v>
      </c>
      <c r="E26" s="12">
        <v>59</v>
      </c>
      <c r="F26" s="8">
        <v>5.03</v>
      </c>
      <c r="G26" s="12">
        <v>147</v>
      </c>
      <c r="H26" s="8">
        <v>12.07</v>
      </c>
      <c r="I26" s="12">
        <v>0</v>
      </c>
    </row>
    <row r="27" spans="2:9" ht="15" customHeight="1" x14ac:dyDescent="0.2">
      <c r="B27" t="s">
        <v>98</v>
      </c>
      <c r="C27" s="12">
        <v>136</v>
      </c>
      <c r="D27" s="8">
        <v>5.68</v>
      </c>
      <c r="E27" s="12">
        <v>19</v>
      </c>
      <c r="F27" s="8">
        <v>1.62</v>
      </c>
      <c r="G27" s="12">
        <v>117</v>
      </c>
      <c r="H27" s="8">
        <v>9.61</v>
      </c>
      <c r="I27" s="12">
        <v>0</v>
      </c>
    </row>
    <row r="28" spans="2:9" ht="15" customHeight="1" x14ac:dyDescent="0.2">
      <c r="B28" t="s">
        <v>108</v>
      </c>
      <c r="C28" s="12">
        <v>129</v>
      </c>
      <c r="D28" s="8">
        <v>5.39</v>
      </c>
      <c r="E28" s="12">
        <v>85</v>
      </c>
      <c r="F28" s="8">
        <v>7.25</v>
      </c>
      <c r="G28" s="12">
        <v>44</v>
      </c>
      <c r="H28" s="8">
        <v>3.61</v>
      </c>
      <c r="I28" s="12">
        <v>0</v>
      </c>
    </row>
    <row r="29" spans="2:9" ht="15" customHeight="1" x14ac:dyDescent="0.2">
      <c r="B29" t="s">
        <v>100</v>
      </c>
      <c r="C29" s="12">
        <v>111</v>
      </c>
      <c r="D29" s="8">
        <v>4.6399999999999997</v>
      </c>
      <c r="E29" s="12">
        <v>14</v>
      </c>
      <c r="F29" s="8">
        <v>1.19</v>
      </c>
      <c r="G29" s="12">
        <v>97</v>
      </c>
      <c r="H29" s="8">
        <v>7.96</v>
      </c>
      <c r="I29" s="12">
        <v>0</v>
      </c>
    </row>
    <row r="30" spans="2:9" ht="15" customHeight="1" x14ac:dyDescent="0.2">
      <c r="B30" t="s">
        <v>99</v>
      </c>
      <c r="C30" s="12">
        <v>103</v>
      </c>
      <c r="D30" s="8">
        <v>4.3</v>
      </c>
      <c r="E30" s="12">
        <v>33</v>
      </c>
      <c r="F30" s="8">
        <v>2.82</v>
      </c>
      <c r="G30" s="12">
        <v>70</v>
      </c>
      <c r="H30" s="8">
        <v>5.75</v>
      </c>
      <c r="I30" s="12">
        <v>0</v>
      </c>
    </row>
    <row r="31" spans="2:9" ht="15" customHeight="1" x14ac:dyDescent="0.2">
      <c r="B31" t="s">
        <v>116</v>
      </c>
      <c r="C31" s="12">
        <v>102</v>
      </c>
      <c r="D31" s="8">
        <v>4.26</v>
      </c>
      <c r="E31" s="12">
        <v>83</v>
      </c>
      <c r="F31" s="8">
        <v>7.08</v>
      </c>
      <c r="G31" s="12">
        <v>19</v>
      </c>
      <c r="H31" s="8">
        <v>1.56</v>
      </c>
      <c r="I31" s="12">
        <v>0</v>
      </c>
    </row>
    <row r="32" spans="2:9" ht="15" customHeight="1" x14ac:dyDescent="0.2">
      <c r="B32" t="s">
        <v>107</v>
      </c>
      <c r="C32" s="12">
        <v>92</v>
      </c>
      <c r="D32" s="8">
        <v>3.84</v>
      </c>
      <c r="E32" s="12">
        <v>57</v>
      </c>
      <c r="F32" s="8">
        <v>4.8600000000000003</v>
      </c>
      <c r="G32" s="12">
        <v>35</v>
      </c>
      <c r="H32" s="8">
        <v>2.87</v>
      </c>
      <c r="I32" s="12">
        <v>0</v>
      </c>
    </row>
    <row r="33" spans="2:9" ht="15" customHeight="1" x14ac:dyDescent="0.2">
      <c r="B33" t="s">
        <v>106</v>
      </c>
      <c r="C33" s="12">
        <v>91</v>
      </c>
      <c r="D33" s="8">
        <v>3.8</v>
      </c>
      <c r="E33" s="12">
        <v>69</v>
      </c>
      <c r="F33" s="8">
        <v>5.89</v>
      </c>
      <c r="G33" s="12">
        <v>22</v>
      </c>
      <c r="H33" s="8">
        <v>1.81</v>
      </c>
      <c r="I33" s="12">
        <v>0</v>
      </c>
    </row>
    <row r="34" spans="2:9" ht="15" customHeight="1" x14ac:dyDescent="0.2">
      <c r="B34" t="s">
        <v>115</v>
      </c>
      <c r="C34" s="12">
        <v>87</v>
      </c>
      <c r="D34" s="8">
        <v>3.64</v>
      </c>
      <c r="E34" s="12">
        <v>64</v>
      </c>
      <c r="F34" s="8">
        <v>5.46</v>
      </c>
      <c r="G34" s="12">
        <v>22</v>
      </c>
      <c r="H34" s="8">
        <v>1.81</v>
      </c>
      <c r="I34" s="12">
        <v>1</v>
      </c>
    </row>
    <row r="35" spans="2:9" ht="15" customHeight="1" x14ac:dyDescent="0.2">
      <c r="B35" t="s">
        <v>101</v>
      </c>
      <c r="C35" s="12">
        <v>57</v>
      </c>
      <c r="D35" s="8">
        <v>2.38</v>
      </c>
      <c r="E35" s="12">
        <v>14</v>
      </c>
      <c r="F35" s="8">
        <v>1.19</v>
      </c>
      <c r="G35" s="12">
        <v>43</v>
      </c>
      <c r="H35" s="8">
        <v>3.53</v>
      </c>
      <c r="I35" s="12">
        <v>0</v>
      </c>
    </row>
    <row r="36" spans="2:9" ht="15" customHeight="1" x14ac:dyDescent="0.2">
      <c r="B36" t="s">
        <v>105</v>
      </c>
      <c r="C36" s="12">
        <v>52</v>
      </c>
      <c r="D36" s="8">
        <v>2.17</v>
      </c>
      <c r="E36" s="12">
        <v>29</v>
      </c>
      <c r="F36" s="8">
        <v>2.4700000000000002</v>
      </c>
      <c r="G36" s="12">
        <v>23</v>
      </c>
      <c r="H36" s="8">
        <v>1.89</v>
      </c>
      <c r="I36" s="12">
        <v>0</v>
      </c>
    </row>
    <row r="37" spans="2:9" ht="15" customHeight="1" x14ac:dyDescent="0.2">
      <c r="B37" t="s">
        <v>111</v>
      </c>
      <c r="C37" s="12">
        <v>46</v>
      </c>
      <c r="D37" s="8">
        <v>1.92</v>
      </c>
      <c r="E37" s="12">
        <v>21</v>
      </c>
      <c r="F37" s="8">
        <v>1.79</v>
      </c>
      <c r="G37" s="12">
        <v>25</v>
      </c>
      <c r="H37" s="8">
        <v>2.0499999999999998</v>
      </c>
      <c r="I37" s="12">
        <v>0</v>
      </c>
    </row>
    <row r="38" spans="2:9" ht="15" customHeight="1" x14ac:dyDescent="0.2">
      <c r="B38" t="s">
        <v>109</v>
      </c>
      <c r="C38" s="12">
        <v>38</v>
      </c>
      <c r="D38" s="8">
        <v>1.59</v>
      </c>
      <c r="E38" s="12">
        <v>9</v>
      </c>
      <c r="F38" s="8">
        <v>0.77</v>
      </c>
      <c r="G38" s="12">
        <v>29</v>
      </c>
      <c r="H38" s="8">
        <v>2.38</v>
      </c>
      <c r="I38" s="12">
        <v>0</v>
      </c>
    </row>
    <row r="39" spans="2:9" ht="15" customHeight="1" x14ac:dyDescent="0.2">
      <c r="B39" t="s">
        <v>112</v>
      </c>
      <c r="C39" s="12">
        <v>38</v>
      </c>
      <c r="D39" s="8">
        <v>1.59</v>
      </c>
      <c r="E39" s="12">
        <v>13</v>
      </c>
      <c r="F39" s="8">
        <v>1.1100000000000001</v>
      </c>
      <c r="G39" s="12">
        <v>25</v>
      </c>
      <c r="H39" s="8">
        <v>2.0499999999999998</v>
      </c>
      <c r="I39" s="12">
        <v>0</v>
      </c>
    </row>
    <row r="40" spans="2:9" ht="15" customHeight="1" x14ac:dyDescent="0.2">
      <c r="B40" t="s">
        <v>130</v>
      </c>
      <c r="C40" s="12">
        <v>37</v>
      </c>
      <c r="D40" s="8">
        <v>1.55</v>
      </c>
      <c r="E40" s="12">
        <v>17</v>
      </c>
      <c r="F40" s="8">
        <v>1.45</v>
      </c>
      <c r="G40" s="12">
        <v>20</v>
      </c>
      <c r="H40" s="8">
        <v>1.64</v>
      </c>
      <c r="I40" s="12">
        <v>0</v>
      </c>
    </row>
    <row r="41" spans="2:9" ht="15" customHeight="1" x14ac:dyDescent="0.2">
      <c r="B41" t="s">
        <v>102</v>
      </c>
      <c r="C41" s="12">
        <v>34</v>
      </c>
      <c r="D41" s="8">
        <v>1.42</v>
      </c>
      <c r="E41" s="12">
        <v>7</v>
      </c>
      <c r="F41" s="8">
        <v>0.6</v>
      </c>
      <c r="G41" s="12">
        <v>27</v>
      </c>
      <c r="H41" s="8">
        <v>2.2200000000000002</v>
      </c>
      <c r="I41" s="12">
        <v>0</v>
      </c>
    </row>
    <row r="42" spans="2:9" ht="15" customHeight="1" x14ac:dyDescent="0.2">
      <c r="B42" t="s">
        <v>117</v>
      </c>
      <c r="C42" s="12">
        <v>34</v>
      </c>
      <c r="D42" s="8">
        <v>1.42</v>
      </c>
      <c r="E42" s="12">
        <v>1</v>
      </c>
      <c r="F42" s="8">
        <v>0.09</v>
      </c>
      <c r="G42" s="12">
        <v>33</v>
      </c>
      <c r="H42" s="8">
        <v>2.71</v>
      </c>
      <c r="I42" s="12">
        <v>0</v>
      </c>
    </row>
    <row r="43" spans="2:9" ht="15" customHeight="1" x14ac:dyDescent="0.2">
      <c r="B43" t="s">
        <v>127</v>
      </c>
      <c r="C43" s="12">
        <v>33</v>
      </c>
      <c r="D43" s="8">
        <v>1.38</v>
      </c>
      <c r="E43" s="12">
        <v>9</v>
      </c>
      <c r="F43" s="8">
        <v>0.77</v>
      </c>
      <c r="G43" s="12">
        <v>24</v>
      </c>
      <c r="H43" s="8">
        <v>1.97</v>
      </c>
      <c r="I43" s="12">
        <v>0</v>
      </c>
    </row>
    <row r="46" spans="2:9" ht="33" customHeight="1" x14ac:dyDescent="0.2">
      <c r="B46" t="s">
        <v>273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169</v>
      </c>
      <c r="C47" s="12">
        <v>124</v>
      </c>
      <c r="D47" s="8">
        <v>5.18</v>
      </c>
      <c r="E47" s="12">
        <v>116</v>
      </c>
      <c r="F47" s="8">
        <v>9.9</v>
      </c>
      <c r="G47" s="12">
        <v>8</v>
      </c>
      <c r="H47" s="8">
        <v>0.66</v>
      </c>
      <c r="I47" s="12">
        <v>0</v>
      </c>
    </row>
    <row r="48" spans="2:9" ht="15" customHeight="1" x14ac:dyDescent="0.2">
      <c r="B48" t="s">
        <v>160</v>
      </c>
      <c r="C48" s="12">
        <v>97</v>
      </c>
      <c r="D48" s="8">
        <v>4.05</v>
      </c>
      <c r="E48" s="12">
        <v>28</v>
      </c>
      <c r="F48" s="8">
        <v>2.39</v>
      </c>
      <c r="G48" s="12">
        <v>69</v>
      </c>
      <c r="H48" s="8">
        <v>5.67</v>
      </c>
      <c r="I48" s="12">
        <v>0</v>
      </c>
    </row>
    <row r="49" spans="2:9" ht="15" customHeight="1" x14ac:dyDescent="0.2">
      <c r="B49" t="s">
        <v>171</v>
      </c>
      <c r="C49" s="12">
        <v>83</v>
      </c>
      <c r="D49" s="8">
        <v>3.47</v>
      </c>
      <c r="E49" s="12">
        <v>70</v>
      </c>
      <c r="F49" s="8">
        <v>5.97</v>
      </c>
      <c r="G49" s="12">
        <v>13</v>
      </c>
      <c r="H49" s="8">
        <v>1.07</v>
      </c>
      <c r="I49" s="12">
        <v>0</v>
      </c>
    </row>
    <row r="50" spans="2:9" ht="15" customHeight="1" x14ac:dyDescent="0.2">
      <c r="B50" t="s">
        <v>165</v>
      </c>
      <c r="C50" s="12">
        <v>74</v>
      </c>
      <c r="D50" s="8">
        <v>3.09</v>
      </c>
      <c r="E50" s="12">
        <v>70</v>
      </c>
      <c r="F50" s="8">
        <v>5.97</v>
      </c>
      <c r="G50" s="12">
        <v>4</v>
      </c>
      <c r="H50" s="8">
        <v>0.33</v>
      </c>
      <c r="I50" s="12">
        <v>0</v>
      </c>
    </row>
    <row r="51" spans="2:9" ht="15" customHeight="1" x14ac:dyDescent="0.2">
      <c r="B51" t="s">
        <v>168</v>
      </c>
      <c r="C51" s="12">
        <v>70</v>
      </c>
      <c r="D51" s="8">
        <v>2.93</v>
      </c>
      <c r="E51" s="12">
        <v>69</v>
      </c>
      <c r="F51" s="8">
        <v>5.89</v>
      </c>
      <c r="G51" s="12">
        <v>1</v>
      </c>
      <c r="H51" s="8">
        <v>0.08</v>
      </c>
      <c r="I51" s="12">
        <v>0</v>
      </c>
    </row>
    <row r="52" spans="2:9" ht="15" customHeight="1" x14ac:dyDescent="0.2">
      <c r="B52" t="s">
        <v>167</v>
      </c>
      <c r="C52" s="12">
        <v>60</v>
      </c>
      <c r="D52" s="8">
        <v>2.5099999999999998</v>
      </c>
      <c r="E52" s="12">
        <v>57</v>
      </c>
      <c r="F52" s="8">
        <v>4.8600000000000003</v>
      </c>
      <c r="G52" s="12">
        <v>3</v>
      </c>
      <c r="H52" s="8">
        <v>0.25</v>
      </c>
      <c r="I52" s="12">
        <v>0</v>
      </c>
    </row>
    <row r="53" spans="2:9" ht="15" customHeight="1" x14ac:dyDescent="0.2">
      <c r="B53" t="s">
        <v>215</v>
      </c>
      <c r="C53" s="12">
        <v>57</v>
      </c>
      <c r="D53" s="8">
        <v>2.38</v>
      </c>
      <c r="E53" s="12">
        <v>32</v>
      </c>
      <c r="F53" s="8">
        <v>2.73</v>
      </c>
      <c r="G53" s="12">
        <v>25</v>
      </c>
      <c r="H53" s="8">
        <v>2.0499999999999998</v>
      </c>
      <c r="I53" s="12">
        <v>0</v>
      </c>
    </row>
    <row r="54" spans="2:9" ht="15" customHeight="1" x14ac:dyDescent="0.2">
      <c r="B54" t="s">
        <v>170</v>
      </c>
      <c r="C54" s="12">
        <v>56</v>
      </c>
      <c r="D54" s="8">
        <v>2.34</v>
      </c>
      <c r="E54" s="12">
        <v>44</v>
      </c>
      <c r="F54" s="8">
        <v>3.75</v>
      </c>
      <c r="G54" s="12">
        <v>12</v>
      </c>
      <c r="H54" s="8">
        <v>0.99</v>
      </c>
      <c r="I54" s="12">
        <v>0</v>
      </c>
    </row>
    <row r="55" spans="2:9" ht="15" customHeight="1" x14ac:dyDescent="0.2">
      <c r="B55" t="s">
        <v>157</v>
      </c>
      <c r="C55" s="12">
        <v>51</v>
      </c>
      <c r="D55" s="8">
        <v>2.13</v>
      </c>
      <c r="E55" s="12">
        <v>38</v>
      </c>
      <c r="F55" s="8">
        <v>3.24</v>
      </c>
      <c r="G55" s="12">
        <v>13</v>
      </c>
      <c r="H55" s="8">
        <v>1.07</v>
      </c>
      <c r="I55" s="12">
        <v>0</v>
      </c>
    </row>
    <row r="56" spans="2:9" ht="15" customHeight="1" x14ac:dyDescent="0.2">
      <c r="B56" t="s">
        <v>153</v>
      </c>
      <c r="C56" s="12">
        <v>45</v>
      </c>
      <c r="D56" s="8">
        <v>1.88</v>
      </c>
      <c r="E56" s="12">
        <v>6</v>
      </c>
      <c r="F56" s="8">
        <v>0.51</v>
      </c>
      <c r="G56" s="12">
        <v>39</v>
      </c>
      <c r="H56" s="8">
        <v>3.2</v>
      </c>
      <c r="I56" s="12">
        <v>0</v>
      </c>
    </row>
    <row r="57" spans="2:9" ht="15" customHeight="1" x14ac:dyDescent="0.2">
      <c r="B57" t="s">
        <v>152</v>
      </c>
      <c r="C57" s="12">
        <v>44</v>
      </c>
      <c r="D57" s="8">
        <v>1.84</v>
      </c>
      <c r="E57" s="12">
        <v>10</v>
      </c>
      <c r="F57" s="8">
        <v>0.85</v>
      </c>
      <c r="G57" s="12">
        <v>34</v>
      </c>
      <c r="H57" s="8">
        <v>2.79</v>
      </c>
      <c r="I57" s="12">
        <v>0</v>
      </c>
    </row>
    <row r="58" spans="2:9" ht="15" customHeight="1" x14ac:dyDescent="0.2">
      <c r="B58" t="s">
        <v>174</v>
      </c>
      <c r="C58" s="12">
        <v>44</v>
      </c>
      <c r="D58" s="8">
        <v>1.84</v>
      </c>
      <c r="E58" s="12">
        <v>3</v>
      </c>
      <c r="F58" s="8">
        <v>0.26</v>
      </c>
      <c r="G58" s="12">
        <v>41</v>
      </c>
      <c r="H58" s="8">
        <v>3.37</v>
      </c>
      <c r="I58" s="12">
        <v>0</v>
      </c>
    </row>
    <row r="59" spans="2:9" ht="15" customHeight="1" x14ac:dyDescent="0.2">
      <c r="B59" t="s">
        <v>159</v>
      </c>
      <c r="C59" s="12">
        <v>44</v>
      </c>
      <c r="D59" s="8">
        <v>1.84</v>
      </c>
      <c r="E59" s="12">
        <v>7</v>
      </c>
      <c r="F59" s="8">
        <v>0.6</v>
      </c>
      <c r="G59" s="12">
        <v>37</v>
      </c>
      <c r="H59" s="8">
        <v>3.04</v>
      </c>
      <c r="I59" s="12">
        <v>0</v>
      </c>
    </row>
    <row r="60" spans="2:9" ht="15" customHeight="1" x14ac:dyDescent="0.2">
      <c r="B60" t="s">
        <v>164</v>
      </c>
      <c r="C60" s="12">
        <v>44</v>
      </c>
      <c r="D60" s="8">
        <v>1.84</v>
      </c>
      <c r="E60" s="12">
        <v>38</v>
      </c>
      <c r="F60" s="8">
        <v>3.24</v>
      </c>
      <c r="G60" s="12">
        <v>6</v>
      </c>
      <c r="H60" s="8">
        <v>0.49</v>
      </c>
      <c r="I60" s="12">
        <v>0</v>
      </c>
    </row>
    <row r="61" spans="2:9" ht="15" customHeight="1" x14ac:dyDescent="0.2">
      <c r="B61" t="s">
        <v>161</v>
      </c>
      <c r="C61" s="12">
        <v>40</v>
      </c>
      <c r="D61" s="8">
        <v>1.67</v>
      </c>
      <c r="E61" s="12">
        <v>23</v>
      </c>
      <c r="F61" s="8">
        <v>1.96</v>
      </c>
      <c r="G61" s="12">
        <v>17</v>
      </c>
      <c r="H61" s="8">
        <v>1.4</v>
      </c>
      <c r="I61" s="12">
        <v>0</v>
      </c>
    </row>
    <row r="62" spans="2:9" ht="15" customHeight="1" x14ac:dyDescent="0.2">
      <c r="B62" t="s">
        <v>210</v>
      </c>
      <c r="C62" s="12">
        <v>32</v>
      </c>
      <c r="D62" s="8">
        <v>1.34</v>
      </c>
      <c r="E62" s="12">
        <v>6</v>
      </c>
      <c r="F62" s="8">
        <v>0.51</v>
      </c>
      <c r="G62" s="12">
        <v>26</v>
      </c>
      <c r="H62" s="8">
        <v>2.13</v>
      </c>
      <c r="I62" s="12">
        <v>0</v>
      </c>
    </row>
    <row r="63" spans="2:9" ht="15" customHeight="1" x14ac:dyDescent="0.2">
      <c r="B63" t="s">
        <v>156</v>
      </c>
      <c r="C63" s="12">
        <v>32</v>
      </c>
      <c r="D63" s="8">
        <v>1.34</v>
      </c>
      <c r="E63" s="12">
        <v>20</v>
      </c>
      <c r="F63" s="8">
        <v>1.71</v>
      </c>
      <c r="G63" s="12">
        <v>12</v>
      </c>
      <c r="H63" s="8">
        <v>0.99</v>
      </c>
      <c r="I63" s="12">
        <v>0</v>
      </c>
    </row>
    <row r="64" spans="2:9" ht="15" customHeight="1" x14ac:dyDescent="0.2">
      <c r="B64" t="s">
        <v>158</v>
      </c>
      <c r="C64" s="12">
        <v>32</v>
      </c>
      <c r="D64" s="8">
        <v>1.34</v>
      </c>
      <c r="E64" s="12">
        <v>9</v>
      </c>
      <c r="F64" s="8">
        <v>0.77</v>
      </c>
      <c r="G64" s="12">
        <v>23</v>
      </c>
      <c r="H64" s="8">
        <v>1.89</v>
      </c>
      <c r="I64" s="12">
        <v>0</v>
      </c>
    </row>
    <row r="65" spans="2:9" ht="15" customHeight="1" x14ac:dyDescent="0.2">
      <c r="B65" t="s">
        <v>196</v>
      </c>
      <c r="C65" s="12">
        <v>30</v>
      </c>
      <c r="D65" s="8">
        <v>1.25</v>
      </c>
      <c r="E65" s="12">
        <v>16</v>
      </c>
      <c r="F65" s="8">
        <v>1.37</v>
      </c>
      <c r="G65" s="12">
        <v>14</v>
      </c>
      <c r="H65" s="8">
        <v>1.1499999999999999</v>
      </c>
      <c r="I65" s="12">
        <v>0</v>
      </c>
    </row>
    <row r="66" spans="2:9" ht="15" customHeight="1" x14ac:dyDescent="0.2">
      <c r="B66" t="s">
        <v>155</v>
      </c>
      <c r="C66" s="12">
        <v>29</v>
      </c>
      <c r="D66" s="8">
        <v>1.21</v>
      </c>
      <c r="E66" s="12">
        <v>20</v>
      </c>
      <c r="F66" s="8">
        <v>1.71</v>
      </c>
      <c r="G66" s="12">
        <v>9</v>
      </c>
      <c r="H66" s="8">
        <v>0.74</v>
      </c>
      <c r="I66" s="12">
        <v>0</v>
      </c>
    </row>
    <row r="67" spans="2:9" ht="15" customHeight="1" x14ac:dyDescent="0.2">
      <c r="B67" t="s">
        <v>198</v>
      </c>
      <c r="C67" s="12">
        <v>29</v>
      </c>
      <c r="D67" s="8">
        <v>1.21</v>
      </c>
      <c r="E67" s="12">
        <v>16</v>
      </c>
      <c r="F67" s="8">
        <v>1.37</v>
      </c>
      <c r="G67" s="12">
        <v>13</v>
      </c>
      <c r="H67" s="8">
        <v>1.07</v>
      </c>
      <c r="I67" s="12">
        <v>0</v>
      </c>
    </row>
    <row r="69" spans="2:9" ht="15" customHeight="1" x14ac:dyDescent="0.2">
      <c r="B69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48618-7CA4-483F-B4C1-30BE90C0D840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305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235</v>
      </c>
      <c r="D6" s="8">
        <v>16.12</v>
      </c>
      <c r="E6" s="12">
        <v>49</v>
      </c>
      <c r="F6" s="8">
        <v>7.81</v>
      </c>
      <c r="G6" s="12">
        <v>186</v>
      </c>
      <c r="H6" s="8">
        <v>22.38</v>
      </c>
      <c r="I6" s="12">
        <v>0</v>
      </c>
    </row>
    <row r="7" spans="2:9" ht="15" customHeight="1" x14ac:dyDescent="0.2">
      <c r="B7" t="s">
        <v>77</v>
      </c>
      <c r="C7" s="12">
        <v>137</v>
      </c>
      <c r="D7" s="8">
        <v>9.4</v>
      </c>
      <c r="E7" s="12">
        <v>60</v>
      </c>
      <c r="F7" s="8">
        <v>9.57</v>
      </c>
      <c r="G7" s="12">
        <v>77</v>
      </c>
      <c r="H7" s="8">
        <v>9.27</v>
      </c>
      <c r="I7" s="12">
        <v>0</v>
      </c>
    </row>
    <row r="8" spans="2:9" ht="15" customHeight="1" x14ac:dyDescent="0.2">
      <c r="B8" t="s">
        <v>78</v>
      </c>
      <c r="C8" s="12">
        <v>1</v>
      </c>
      <c r="D8" s="8">
        <v>7.0000000000000007E-2</v>
      </c>
      <c r="E8" s="12">
        <v>0</v>
      </c>
      <c r="F8" s="8">
        <v>0</v>
      </c>
      <c r="G8" s="12">
        <v>1</v>
      </c>
      <c r="H8" s="8">
        <v>0.12</v>
      </c>
      <c r="I8" s="12">
        <v>0</v>
      </c>
    </row>
    <row r="9" spans="2:9" ht="15" customHeight="1" x14ac:dyDescent="0.2">
      <c r="B9" t="s">
        <v>79</v>
      </c>
      <c r="C9" s="12">
        <v>6</v>
      </c>
      <c r="D9" s="8">
        <v>0.41</v>
      </c>
      <c r="E9" s="12">
        <v>0</v>
      </c>
      <c r="F9" s="8">
        <v>0</v>
      </c>
      <c r="G9" s="12">
        <v>6</v>
      </c>
      <c r="H9" s="8">
        <v>0.72</v>
      </c>
      <c r="I9" s="12">
        <v>0</v>
      </c>
    </row>
    <row r="10" spans="2:9" ht="15" customHeight="1" x14ac:dyDescent="0.2">
      <c r="B10" t="s">
        <v>80</v>
      </c>
      <c r="C10" s="12">
        <v>41</v>
      </c>
      <c r="D10" s="8">
        <v>2.81</v>
      </c>
      <c r="E10" s="12">
        <v>33</v>
      </c>
      <c r="F10" s="8">
        <v>5.26</v>
      </c>
      <c r="G10" s="12">
        <v>8</v>
      </c>
      <c r="H10" s="8">
        <v>0.96</v>
      </c>
      <c r="I10" s="12">
        <v>0</v>
      </c>
    </row>
    <row r="11" spans="2:9" ht="15" customHeight="1" x14ac:dyDescent="0.2">
      <c r="B11" t="s">
        <v>81</v>
      </c>
      <c r="C11" s="12">
        <v>323</v>
      </c>
      <c r="D11" s="8">
        <v>22.15</v>
      </c>
      <c r="E11" s="12">
        <v>127</v>
      </c>
      <c r="F11" s="8">
        <v>20.260000000000002</v>
      </c>
      <c r="G11" s="12">
        <v>196</v>
      </c>
      <c r="H11" s="8">
        <v>23.59</v>
      </c>
      <c r="I11" s="12">
        <v>0</v>
      </c>
    </row>
    <row r="12" spans="2:9" ht="15" customHeight="1" x14ac:dyDescent="0.2">
      <c r="B12" t="s">
        <v>82</v>
      </c>
      <c r="C12" s="12">
        <v>17</v>
      </c>
      <c r="D12" s="8">
        <v>1.17</v>
      </c>
      <c r="E12" s="12">
        <v>3</v>
      </c>
      <c r="F12" s="8">
        <v>0.48</v>
      </c>
      <c r="G12" s="12">
        <v>14</v>
      </c>
      <c r="H12" s="8">
        <v>1.68</v>
      </c>
      <c r="I12" s="12">
        <v>0</v>
      </c>
    </row>
    <row r="13" spans="2:9" ht="15" customHeight="1" x14ac:dyDescent="0.2">
      <c r="B13" t="s">
        <v>83</v>
      </c>
      <c r="C13" s="12">
        <v>151</v>
      </c>
      <c r="D13" s="8">
        <v>10.36</v>
      </c>
      <c r="E13" s="12">
        <v>18</v>
      </c>
      <c r="F13" s="8">
        <v>2.87</v>
      </c>
      <c r="G13" s="12">
        <v>133</v>
      </c>
      <c r="H13" s="8">
        <v>16</v>
      </c>
      <c r="I13" s="12">
        <v>0</v>
      </c>
    </row>
    <row r="14" spans="2:9" ht="15" customHeight="1" x14ac:dyDescent="0.2">
      <c r="B14" t="s">
        <v>84</v>
      </c>
      <c r="C14" s="12">
        <v>72</v>
      </c>
      <c r="D14" s="8">
        <v>4.9400000000000004</v>
      </c>
      <c r="E14" s="12">
        <v>26</v>
      </c>
      <c r="F14" s="8">
        <v>4.1500000000000004</v>
      </c>
      <c r="G14" s="12">
        <v>46</v>
      </c>
      <c r="H14" s="8">
        <v>5.54</v>
      </c>
      <c r="I14" s="12">
        <v>0</v>
      </c>
    </row>
    <row r="15" spans="2:9" ht="15" customHeight="1" x14ac:dyDescent="0.2">
      <c r="B15" t="s">
        <v>85</v>
      </c>
      <c r="C15" s="12">
        <v>118</v>
      </c>
      <c r="D15" s="8">
        <v>8.09</v>
      </c>
      <c r="E15" s="12">
        <v>84</v>
      </c>
      <c r="F15" s="8">
        <v>13.4</v>
      </c>
      <c r="G15" s="12">
        <v>34</v>
      </c>
      <c r="H15" s="8">
        <v>4.09</v>
      </c>
      <c r="I15" s="12">
        <v>0</v>
      </c>
    </row>
    <row r="16" spans="2:9" ht="15" customHeight="1" x14ac:dyDescent="0.2">
      <c r="B16" t="s">
        <v>86</v>
      </c>
      <c r="C16" s="12">
        <v>135</v>
      </c>
      <c r="D16" s="8">
        <v>9.26</v>
      </c>
      <c r="E16" s="12">
        <v>98</v>
      </c>
      <c r="F16" s="8">
        <v>15.63</v>
      </c>
      <c r="G16" s="12">
        <v>37</v>
      </c>
      <c r="H16" s="8">
        <v>4.45</v>
      </c>
      <c r="I16" s="12">
        <v>0</v>
      </c>
    </row>
    <row r="17" spans="2:9" ht="15" customHeight="1" x14ac:dyDescent="0.2">
      <c r="B17" t="s">
        <v>87</v>
      </c>
      <c r="C17" s="12">
        <v>47</v>
      </c>
      <c r="D17" s="8">
        <v>3.22</v>
      </c>
      <c r="E17" s="12">
        <v>29</v>
      </c>
      <c r="F17" s="8">
        <v>4.63</v>
      </c>
      <c r="G17" s="12">
        <v>18</v>
      </c>
      <c r="H17" s="8">
        <v>2.17</v>
      </c>
      <c r="I17" s="12">
        <v>0</v>
      </c>
    </row>
    <row r="18" spans="2:9" ht="15" customHeight="1" x14ac:dyDescent="0.2">
      <c r="B18" t="s">
        <v>88</v>
      </c>
      <c r="C18" s="12">
        <v>99</v>
      </c>
      <c r="D18" s="8">
        <v>6.79</v>
      </c>
      <c r="E18" s="12">
        <v>57</v>
      </c>
      <c r="F18" s="8">
        <v>9.09</v>
      </c>
      <c r="G18" s="12">
        <v>42</v>
      </c>
      <c r="H18" s="8">
        <v>5.05</v>
      </c>
      <c r="I18" s="12">
        <v>0</v>
      </c>
    </row>
    <row r="19" spans="2:9" ht="15" customHeight="1" x14ac:dyDescent="0.2">
      <c r="B19" t="s">
        <v>89</v>
      </c>
      <c r="C19" s="12">
        <v>76</v>
      </c>
      <c r="D19" s="8">
        <v>5.21</v>
      </c>
      <c r="E19" s="12">
        <v>43</v>
      </c>
      <c r="F19" s="8">
        <v>6.86</v>
      </c>
      <c r="G19" s="12">
        <v>33</v>
      </c>
      <c r="H19" s="8">
        <v>3.97</v>
      </c>
      <c r="I19" s="12">
        <v>0</v>
      </c>
    </row>
    <row r="20" spans="2:9" ht="15" customHeight="1" x14ac:dyDescent="0.2">
      <c r="B20" s="9" t="s">
        <v>271</v>
      </c>
      <c r="C20" s="12">
        <f>SUM(LTBL_27145[総数／事業所数])</f>
        <v>1458</v>
      </c>
      <c r="E20" s="12">
        <f>SUBTOTAL(109,LTBL_27145[個人／事業所数])</f>
        <v>627</v>
      </c>
      <c r="G20" s="12">
        <f>SUBTOTAL(109,LTBL_27145[法人／事業所数])</f>
        <v>831</v>
      </c>
      <c r="I20" s="12">
        <f>SUBTOTAL(109,LTBL_27145[法人以外の団体／事業所数])</f>
        <v>0</v>
      </c>
    </row>
    <row r="21" spans="2:9" ht="15" customHeight="1" x14ac:dyDescent="0.2">
      <c r="E21" s="11">
        <f>LTBL_27145[[#Totals],[個人／事業所数]]/LTBL_27145[[#Totals],[総数／事業所数]]</f>
        <v>0.43004115226337447</v>
      </c>
      <c r="G21" s="11">
        <f>LTBL_27145[[#Totals],[法人／事業所数]]/LTBL_27145[[#Totals],[総数／事業所数]]</f>
        <v>0.56995884773662553</v>
      </c>
      <c r="I21" s="11">
        <f>LTBL_27145[[#Totals],[法人以外の団体／事業所数]]/LTBL_27145[[#Totals],[総数／事業所数]]</f>
        <v>0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110</v>
      </c>
      <c r="C24" s="12">
        <v>120</v>
      </c>
      <c r="D24" s="8">
        <v>8.23</v>
      </c>
      <c r="E24" s="12">
        <v>13</v>
      </c>
      <c r="F24" s="8">
        <v>2.0699999999999998</v>
      </c>
      <c r="G24" s="12">
        <v>107</v>
      </c>
      <c r="H24" s="8">
        <v>12.88</v>
      </c>
      <c r="I24" s="12">
        <v>0</v>
      </c>
    </row>
    <row r="25" spans="2:9" ht="15" customHeight="1" x14ac:dyDescent="0.2">
      <c r="B25" t="s">
        <v>98</v>
      </c>
      <c r="C25" s="12">
        <v>116</v>
      </c>
      <c r="D25" s="8">
        <v>7.96</v>
      </c>
      <c r="E25" s="12">
        <v>18</v>
      </c>
      <c r="F25" s="8">
        <v>2.87</v>
      </c>
      <c r="G25" s="12">
        <v>98</v>
      </c>
      <c r="H25" s="8">
        <v>11.79</v>
      </c>
      <c r="I25" s="12">
        <v>0</v>
      </c>
    </row>
    <row r="26" spans="2:9" ht="15" customHeight="1" x14ac:dyDescent="0.2">
      <c r="B26" t="s">
        <v>114</v>
      </c>
      <c r="C26" s="12">
        <v>105</v>
      </c>
      <c r="D26" s="8">
        <v>7.2</v>
      </c>
      <c r="E26" s="12">
        <v>82</v>
      </c>
      <c r="F26" s="8">
        <v>13.08</v>
      </c>
      <c r="G26" s="12">
        <v>23</v>
      </c>
      <c r="H26" s="8">
        <v>2.77</v>
      </c>
      <c r="I26" s="12">
        <v>0</v>
      </c>
    </row>
    <row r="27" spans="2:9" ht="15" customHeight="1" x14ac:dyDescent="0.2">
      <c r="B27" t="s">
        <v>113</v>
      </c>
      <c r="C27" s="12">
        <v>100</v>
      </c>
      <c r="D27" s="8">
        <v>6.86</v>
      </c>
      <c r="E27" s="12">
        <v>81</v>
      </c>
      <c r="F27" s="8">
        <v>12.92</v>
      </c>
      <c r="G27" s="12">
        <v>19</v>
      </c>
      <c r="H27" s="8">
        <v>2.29</v>
      </c>
      <c r="I27" s="12">
        <v>0</v>
      </c>
    </row>
    <row r="28" spans="2:9" ht="15" customHeight="1" x14ac:dyDescent="0.2">
      <c r="B28" t="s">
        <v>108</v>
      </c>
      <c r="C28" s="12">
        <v>81</v>
      </c>
      <c r="D28" s="8">
        <v>5.56</v>
      </c>
      <c r="E28" s="12">
        <v>34</v>
      </c>
      <c r="F28" s="8">
        <v>5.42</v>
      </c>
      <c r="G28" s="12">
        <v>47</v>
      </c>
      <c r="H28" s="8">
        <v>5.66</v>
      </c>
      <c r="I28" s="12">
        <v>0</v>
      </c>
    </row>
    <row r="29" spans="2:9" ht="15" customHeight="1" x14ac:dyDescent="0.2">
      <c r="B29" t="s">
        <v>100</v>
      </c>
      <c r="C29" s="12">
        <v>70</v>
      </c>
      <c r="D29" s="8">
        <v>4.8</v>
      </c>
      <c r="E29" s="12">
        <v>12</v>
      </c>
      <c r="F29" s="8">
        <v>1.91</v>
      </c>
      <c r="G29" s="12">
        <v>58</v>
      </c>
      <c r="H29" s="8">
        <v>6.98</v>
      </c>
      <c r="I29" s="12">
        <v>0</v>
      </c>
    </row>
    <row r="30" spans="2:9" ht="15" customHeight="1" x14ac:dyDescent="0.2">
      <c r="B30" t="s">
        <v>116</v>
      </c>
      <c r="C30" s="12">
        <v>63</v>
      </c>
      <c r="D30" s="8">
        <v>4.32</v>
      </c>
      <c r="E30" s="12">
        <v>56</v>
      </c>
      <c r="F30" s="8">
        <v>8.93</v>
      </c>
      <c r="G30" s="12">
        <v>7</v>
      </c>
      <c r="H30" s="8">
        <v>0.84</v>
      </c>
      <c r="I30" s="12">
        <v>0</v>
      </c>
    </row>
    <row r="31" spans="2:9" ht="15" customHeight="1" x14ac:dyDescent="0.2">
      <c r="B31" t="s">
        <v>107</v>
      </c>
      <c r="C31" s="12">
        <v>58</v>
      </c>
      <c r="D31" s="8">
        <v>3.98</v>
      </c>
      <c r="E31" s="12">
        <v>39</v>
      </c>
      <c r="F31" s="8">
        <v>6.22</v>
      </c>
      <c r="G31" s="12">
        <v>19</v>
      </c>
      <c r="H31" s="8">
        <v>2.29</v>
      </c>
      <c r="I31" s="12">
        <v>0</v>
      </c>
    </row>
    <row r="32" spans="2:9" ht="15" customHeight="1" x14ac:dyDescent="0.2">
      <c r="B32" t="s">
        <v>99</v>
      </c>
      <c r="C32" s="12">
        <v>49</v>
      </c>
      <c r="D32" s="8">
        <v>3.36</v>
      </c>
      <c r="E32" s="12">
        <v>19</v>
      </c>
      <c r="F32" s="8">
        <v>3.03</v>
      </c>
      <c r="G32" s="12">
        <v>30</v>
      </c>
      <c r="H32" s="8">
        <v>3.61</v>
      </c>
      <c r="I32" s="12">
        <v>0</v>
      </c>
    </row>
    <row r="33" spans="2:9" ht="15" customHeight="1" x14ac:dyDescent="0.2">
      <c r="B33" t="s">
        <v>106</v>
      </c>
      <c r="C33" s="12">
        <v>49</v>
      </c>
      <c r="D33" s="8">
        <v>3.36</v>
      </c>
      <c r="E33" s="12">
        <v>27</v>
      </c>
      <c r="F33" s="8">
        <v>4.3099999999999996</v>
      </c>
      <c r="G33" s="12">
        <v>22</v>
      </c>
      <c r="H33" s="8">
        <v>2.65</v>
      </c>
      <c r="I33" s="12">
        <v>0</v>
      </c>
    </row>
    <row r="34" spans="2:9" ht="15" customHeight="1" x14ac:dyDescent="0.2">
      <c r="B34" t="s">
        <v>115</v>
      </c>
      <c r="C34" s="12">
        <v>47</v>
      </c>
      <c r="D34" s="8">
        <v>3.22</v>
      </c>
      <c r="E34" s="12">
        <v>29</v>
      </c>
      <c r="F34" s="8">
        <v>4.63</v>
      </c>
      <c r="G34" s="12">
        <v>18</v>
      </c>
      <c r="H34" s="8">
        <v>2.17</v>
      </c>
      <c r="I34" s="12">
        <v>0</v>
      </c>
    </row>
    <row r="35" spans="2:9" ht="15" customHeight="1" x14ac:dyDescent="0.2">
      <c r="B35" t="s">
        <v>111</v>
      </c>
      <c r="C35" s="12">
        <v>44</v>
      </c>
      <c r="D35" s="8">
        <v>3.02</v>
      </c>
      <c r="E35" s="12">
        <v>15</v>
      </c>
      <c r="F35" s="8">
        <v>2.39</v>
      </c>
      <c r="G35" s="12">
        <v>29</v>
      </c>
      <c r="H35" s="8">
        <v>3.49</v>
      </c>
      <c r="I35" s="12">
        <v>0</v>
      </c>
    </row>
    <row r="36" spans="2:9" ht="15" customHeight="1" x14ac:dyDescent="0.2">
      <c r="B36" t="s">
        <v>105</v>
      </c>
      <c r="C36" s="12">
        <v>43</v>
      </c>
      <c r="D36" s="8">
        <v>2.95</v>
      </c>
      <c r="E36" s="12">
        <v>17</v>
      </c>
      <c r="F36" s="8">
        <v>2.71</v>
      </c>
      <c r="G36" s="12">
        <v>26</v>
      </c>
      <c r="H36" s="8">
        <v>3.13</v>
      </c>
      <c r="I36" s="12">
        <v>0</v>
      </c>
    </row>
    <row r="37" spans="2:9" ht="15" customHeight="1" x14ac:dyDescent="0.2">
      <c r="B37" t="s">
        <v>117</v>
      </c>
      <c r="C37" s="12">
        <v>36</v>
      </c>
      <c r="D37" s="8">
        <v>2.4700000000000002</v>
      </c>
      <c r="E37" s="12">
        <v>1</v>
      </c>
      <c r="F37" s="8">
        <v>0.16</v>
      </c>
      <c r="G37" s="12">
        <v>35</v>
      </c>
      <c r="H37" s="8">
        <v>4.21</v>
      </c>
      <c r="I37" s="12">
        <v>0</v>
      </c>
    </row>
    <row r="38" spans="2:9" ht="15" customHeight="1" x14ac:dyDescent="0.2">
      <c r="B38" t="s">
        <v>129</v>
      </c>
      <c r="C38" s="12">
        <v>35</v>
      </c>
      <c r="D38" s="8">
        <v>2.4</v>
      </c>
      <c r="E38" s="12">
        <v>34</v>
      </c>
      <c r="F38" s="8">
        <v>5.42</v>
      </c>
      <c r="G38" s="12">
        <v>1</v>
      </c>
      <c r="H38" s="8">
        <v>0.12</v>
      </c>
      <c r="I38" s="12">
        <v>0</v>
      </c>
    </row>
    <row r="39" spans="2:9" ht="15" customHeight="1" x14ac:dyDescent="0.2">
      <c r="B39" t="s">
        <v>140</v>
      </c>
      <c r="C39" s="12">
        <v>31</v>
      </c>
      <c r="D39" s="8">
        <v>2.13</v>
      </c>
      <c r="E39" s="12">
        <v>31</v>
      </c>
      <c r="F39" s="8">
        <v>4.9400000000000004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101</v>
      </c>
      <c r="C40" s="12">
        <v>27</v>
      </c>
      <c r="D40" s="8">
        <v>1.85</v>
      </c>
      <c r="E40" s="12">
        <v>11</v>
      </c>
      <c r="F40" s="8">
        <v>1.75</v>
      </c>
      <c r="G40" s="12">
        <v>16</v>
      </c>
      <c r="H40" s="8">
        <v>1.93</v>
      </c>
      <c r="I40" s="12">
        <v>0</v>
      </c>
    </row>
    <row r="41" spans="2:9" ht="15" customHeight="1" x14ac:dyDescent="0.2">
      <c r="B41" t="s">
        <v>103</v>
      </c>
      <c r="C41" s="12">
        <v>25</v>
      </c>
      <c r="D41" s="8">
        <v>1.71</v>
      </c>
      <c r="E41" s="12">
        <v>5</v>
      </c>
      <c r="F41" s="8">
        <v>0.8</v>
      </c>
      <c r="G41" s="12">
        <v>20</v>
      </c>
      <c r="H41" s="8">
        <v>2.41</v>
      </c>
      <c r="I41" s="12">
        <v>0</v>
      </c>
    </row>
    <row r="42" spans="2:9" ht="15" customHeight="1" x14ac:dyDescent="0.2">
      <c r="B42" t="s">
        <v>112</v>
      </c>
      <c r="C42" s="12">
        <v>25</v>
      </c>
      <c r="D42" s="8">
        <v>1.71</v>
      </c>
      <c r="E42" s="12">
        <v>11</v>
      </c>
      <c r="F42" s="8">
        <v>1.75</v>
      </c>
      <c r="G42" s="12">
        <v>14</v>
      </c>
      <c r="H42" s="8">
        <v>1.68</v>
      </c>
      <c r="I42" s="12">
        <v>0</v>
      </c>
    </row>
    <row r="43" spans="2:9" ht="15" customHeight="1" x14ac:dyDescent="0.2">
      <c r="B43" t="s">
        <v>109</v>
      </c>
      <c r="C43" s="12">
        <v>24</v>
      </c>
      <c r="D43" s="8">
        <v>1.65</v>
      </c>
      <c r="E43" s="12">
        <v>4</v>
      </c>
      <c r="F43" s="8">
        <v>0.64</v>
      </c>
      <c r="G43" s="12">
        <v>20</v>
      </c>
      <c r="H43" s="8">
        <v>2.41</v>
      </c>
      <c r="I43" s="12">
        <v>0</v>
      </c>
    </row>
    <row r="44" spans="2:9" ht="15" customHeight="1" x14ac:dyDescent="0.2">
      <c r="B44" t="s">
        <v>119</v>
      </c>
      <c r="C44" s="12">
        <v>24</v>
      </c>
      <c r="D44" s="8">
        <v>1.65</v>
      </c>
      <c r="E44" s="12">
        <v>2</v>
      </c>
      <c r="F44" s="8">
        <v>0.32</v>
      </c>
      <c r="G44" s="12">
        <v>22</v>
      </c>
      <c r="H44" s="8">
        <v>2.65</v>
      </c>
      <c r="I44" s="12">
        <v>0</v>
      </c>
    </row>
    <row r="47" spans="2:9" ht="33" customHeight="1" x14ac:dyDescent="0.2">
      <c r="B47" t="s">
        <v>273</v>
      </c>
      <c r="C47" s="10" t="s">
        <v>91</v>
      </c>
      <c r="D47" s="10" t="s">
        <v>92</v>
      </c>
      <c r="E47" s="10" t="s">
        <v>93</v>
      </c>
      <c r="F47" s="10" t="s">
        <v>94</v>
      </c>
      <c r="G47" s="10" t="s">
        <v>95</v>
      </c>
      <c r="H47" s="10" t="s">
        <v>96</v>
      </c>
      <c r="I47" s="10" t="s">
        <v>97</v>
      </c>
    </row>
    <row r="48" spans="2:9" ht="15" customHeight="1" x14ac:dyDescent="0.2">
      <c r="B48" t="s">
        <v>169</v>
      </c>
      <c r="C48" s="12">
        <v>50</v>
      </c>
      <c r="D48" s="8">
        <v>3.43</v>
      </c>
      <c r="E48" s="12">
        <v>43</v>
      </c>
      <c r="F48" s="8">
        <v>6.86</v>
      </c>
      <c r="G48" s="12">
        <v>7</v>
      </c>
      <c r="H48" s="8">
        <v>0.84</v>
      </c>
      <c r="I48" s="12">
        <v>0</v>
      </c>
    </row>
    <row r="49" spans="2:9" ht="15" customHeight="1" x14ac:dyDescent="0.2">
      <c r="B49" t="s">
        <v>171</v>
      </c>
      <c r="C49" s="12">
        <v>46</v>
      </c>
      <c r="D49" s="8">
        <v>3.16</v>
      </c>
      <c r="E49" s="12">
        <v>43</v>
      </c>
      <c r="F49" s="8">
        <v>6.86</v>
      </c>
      <c r="G49" s="12">
        <v>3</v>
      </c>
      <c r="H49" s="8">
        <v>0.36</v>
      </c>
      <c r="I49" s="12">
        <v>0</v>
      </c>
    </row>
    <row r="50" spans="2:9" ht="15" customHeight="1" x14ac:dyDescent="0.2">
      <c r="B50" t="s">
        <v>159</v>
      </c>
      <c r="C50" s="12">
        <v>42</v>
      </c>
      <c r="D50" s="8">
        <v>2.88</v>
      </c>
      <c r="E50" s="12">
        <v>2</v>
      </c>
      <c r="F50" s="8">
        <v>0.32</v>
      </c>
      <c r="G50" s="12">
        <v>40</v>
      </c>
      <c r="H50" s="8">
        <v>4.8099999999999996</v>
      </c>
      <c r="I50" s="12">
        <v>0</v>
      </c>
    </row>
    <row r="51" spans="2:9" ht="15" customHeight="1" x14ac:dyDescent="0.2">
      <c r="B51" t="s">
        <v>160</v>
      </c>
      <c r="C51" s="12">
        <v>40</v>
      </c>
      <c r="D51" s="8">
        <v>2.74</v>
      </c>
      <c r="E51" s="12">
        <v>0</v>
      </c>
      <c r="F51" s="8">
        <v>0</v>
      </c>
      <c r="G51" s="12">
        <v>40</v>
      </c>
      <c r="H51" s="8">
        <v>4.8099999999999996</v>
      </c>
      <c r="I51" s="12">
        <v>0</v>
      </c>
    </row>
    <row r="52" spans="2:9" ht="15" customHeight="1" x14ac:dyDescent="0.2">
      <c r="B52" t="s">
        <v>190</v>
      </c>
      <c r="C52" s="12">
        <v>39</v>
      </c>
      <c r="D52" s="8">
        <v>2.67</v>
      </c>
      <c r="E52" s="12">
        <v>8</v>
      </c>
      <c r="F52" s="8">
        <v>1.28</v>
      </c>
      <c r="G52" s="12">
        <v>31</v>
      </c>
      <c r="H52" s="8">
        <v>3.73</v>
      </c>
      <c r="I52" s="12">
        <v>0</v>
      </c>
    </row>
    <row r="53" spans="2:9" ht="15" customHeight="1" x14ac:dyDescent="0.2">
      <c r="B53" t="s">
        <v>215</v>
      </c>
      <c r="C53" s="12">
        <v>35</v>
      </c>
      <c r="D53" s="8">
        <v>2.4</v>
      </c>
      <c r="E53" s="12">
        <v>27</v>
      </c>
      <c r="F53" s="8">
        <v>4.3099999999999996</v>
      </c>
      <c r="G53" s="12">
        <v>8</v>
      </c>
      <c r="H53" s="8">
        <v>0.96</v>
      </c>
      <c r="I53" s="12">
        <v>0</v>
      </c>
    </row>
    <row r="54" spans="2:9" ht="15" customHeight="1" x14ac:dyDescent="0.2">
      <c r="B54" t="s">
        <v>198</v>
      </c>
      <c r="C54" s="12">
        <v>35</v>
      </c>
      <c r="D54" s="8">
        <v>2.4</v>
      </c>
      <c r="E54" s="12">
        <v>34</v>
      </c>
      <c r="F54" s="8">
        <v>5.42</v>
      </c>
      <c r="G54" s="12">
        <v>1</v>
      </c>
      <c r="H54" s="8">
        <v>0.12</v>
      </c>
      <c r="I54" s="12">
        <v>0</v>
      </c>
    </row>
    <row r="55" spans="2:9" ht="15" customHeight="1" x14ac:dyDescent="0.2">
      <c r="B55" t="s">
        <v>210</v>
      </c>
      <c r="C55" s="12">
        <v>32</v>
      </c>
      <c r="D55" s="8">
        <v>2.19</v>
      </c>
      <c r="E55" s="12">
        <v>5</v>
      </c>
      <c r="F55" s="8">
        <v>0.8</v>
      </c>
      <c r="G55" s="12">
        <v>27</v>
      </c>
      <c r="H55" s="8">
        <v>3.25</v>
      </c>
      <c r="I55" s="12">
        <v>0</v>
      </c>
    </row>
    <row r="56" spans="2:9" ht="15" customHeight="1" x14ac:dyDescent="0.2">
      <c r="B56" t="s">
        <v>174</v>
      </c>
      <c r="C56" s="12">
        <v>32</v>
      </c>
      <c r="D56" s="8">
        <v>2.19</v>
      </c>
      <c r="E56" s="12">
        <v>5</v>
      </c>
      <c r="F56" s="8">
        <v>0.8</v>
      </c>
      <c r="G56" s="12">
        <v>27</v>
      </c>
      <c r="H56" s="8">
        <v>3.25</v>
      </c>
      <c r="I56" s="12">
        <v>0</v>
      </c>
    </row>
    <row r="57" spans="2:9" ht="15" customHeight="1" x14ac:dyDescent="0.2">
      <c r="B57" t="s">
        <v>212</v>
      </c>
      <c r="C57" s="12">
        <v>31</v>
      </c>
      <c r="D57" s="8">
        <v>2.13</v>
      </c>
      <c r="E57" s="12">
        <v>31</v>
      </c>
      <c r="F57" s="8">
        <v>4.9400000000000004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170</v>
      </c>
      <c r="C58" s="12">
        <v>29</v>
      </c>
      <c r="D58" s="8">
        <v>1.99</v>
      </c>
      <c r="E58" s="12">
        <v>21</v>
      </c>
      <c r="F58" s="8">
        <v>3.35</v>
      </c>
      <c r="G58" s="12">
        <v>8</v>
      </c>
      <c r="H58" s="8">
        <v>0.96</v>
      </c>
      <c r="I58" s="12">
        <v>0</v>
      </c>
    </row>
    <row r="59" spans="2:9" ht="15" customHeight="1" x14ac:dyDescent="0.2">
      <c r="B59" t="s">
        <v>168</v>
      </c>
      <c r="C59" s="12">
        <v>27</v>
      </c>
      <c r="D59" s="8">
        <v>1.85</v>
      </c>
      <c r="E59" s="12">
        <v>26</v>
      </c>
      <c r="F59" s="8">
        <v>4.1500000000000004</v>
      </c>
      <c r="G59" s="12">
        <v>1</v>
      </c>
      <c r="H59" s="8">
        <v>0.12</v>
      </c>
      <c r="I59" s="12">
        <v>0</v>
      </c>
    </row>
    <row r="60" spans="2:9" ht="15" customHeight="1" x14ac:dyDescent="0.2">
      <c r="B60" t="s">
        <v>155</v>
      </c>
      <c r="C60" s="12">
        <v>26</v>
      </c>
      <c r="D60" s="8">
        <v>1.78</v>
      </c>
      <c r="E60" s="12">
        <v>10</v>
      </c>
      <c r="F60" s="8">
        <v>1.59</v>
      </c>
      <c r="G60" s="12">
        <v>16</v>
      </c>
      <c r="H60" s="8">
        <v>1.93</v>
      </c>
      <c r="I60" s="12">
        <v>0</v>
      </c>
    </row>
    <row r="61" spans="2:9" ht="15" customHeight="1" x14ac:dyDescent="0.2">
      <c r="B61" t="s">
        <v>157</v>
      </c>
      <c r="C61" s="12">
        <v>25</v>
      </c>
      <c r="D61" s="8">
        <v>1.71</v>
      </c>
      <c r="E61" s="12">
        <v>10</v>
      </c>
      <c r="F61" s="8">
        <v>1.59</v>
      </c>
      <c r="G61" s="12">
        <v>15</v>
      </c>
      <c r="H61" s="8">
        <v>1.81</v>
      </c>
      <c r="I61" s="12">
        <v>0</v>
      </c>
    </row>
    <row r="62" spans="2:9" ht="15" customHeight="1" x14ac:dyDescent="0.2">
      <c r="B62" t="s">
        <v>167</v>
      </c>
      <c r="C62" s="12">
        <v>24</v>
      </c>
      <c r="D62" s="8">
        <v>1.65</v>
      </c>
      <c r="E62" s="12">
        <v>17</v>
      </c>
      <c r="F62" s="8">
        <v>2.71</v>
      </c>
      <c r="G62" s="12">
        <v>7</v>
      </c>
      <c r="H62" s="8">
        <v>0.84</v>
      </c>
      <c r="I62" s="12">
        <v>0</v>
      </c>
    </row>
    <row r="63" spans="2:9" ht="15" customHeight="1" x14ac:dyDescent="0.2">
      <c r="B63" t="s">
        <v>165</v>
      </c>
      <c r="C63" s="12">
        <v>21</v>
      </c>
      <c r="D63" s="8">
        <v>1.44</v>
      </c>
      <c r="E63" s="12">
        <v>19</v>
      </c>
      <c r="F63" s="8">
        <v>3.03</v>
      </c>
      <c r="G63" s="12">
        <v>2</v>
      </c>
      <c r="H63" s="8">
        <v>0.24</v>
      </c>
      <c r="I63" s="12">
        <v>0</v>
      </c>
    </row>
    <row r="64" spans="2:9" ht="15" customHeight="1" x14ac:dyDescent="0.2">
      <c r="B64" t="s">
        <v>162</v>
      </c>
      <c r="C64" s="12">
        <v>20</v>
      </c>
      <c r="D64" s="8">
        <v>1.37</v>
      </c>
      <c r="E64" s="12">
        <v>1</v>
      </c>
      <c r="F64" s="8">
        <v>0.16</v>
      </c>
      <c r="G64" s="12">
        <v>19</v>
      </c>
      <c r="H64" s="8">
        <v>2.29</v>
      </c>
      <c r="I64" s="12">
        <v>0</v>
      </c>
    </row>
    <row r="65" spans="2:9" ht="15" customHeight="1" x14ac:dyDescent="0.2">
      <c r="B65" t="s">
        <v>156</v>
      </c>
      <c r="C65" s="12">
        <v>19</v>
      </c>
      <c r="D65" s="8">
        <v>1.3</v>
      </c>
      <c r="E65" s="12">
        <v>9</v>
      </c>
      <c r="F65" s="8">
        <v>1.44</v>
      </c>
      <c r="G65" s="12">
        <v>10</v>
      </c>
      <c r="H65" s="8">
        <v>1.2</v>
      </c>
      <c r="I65" s="12">
        <v>0</v>
      </c>
    </row>
    <row r="66" spans="2:9" ht="15" customHeight="1" x14ac:dyDescent="0.2">
      <c r="B66" t="s">
        <v>195</v>
      </c>
      <c r="C66" s="12">
        <v>19</v>
      </c>
      <c r="D66" s="8">
        <v>1.3</v>
      </c>
      <c r="E66" s="12">
        <v>8</v>
      </c>
      <c r="F66" s="8">
        <v>1.28</v>
      </c>
      <c r="G66" s="12">
        <v>11</v>
      </c>
      <c r="H66" s="8">
        <v>1.32</v>
      </c>
      <c r="I66" s="12">
        <v>0</v>
      </c>
    </row>
    <row r="67" spans="2:9" ht="15" customHeight="1" x14ac:dyDescent="0.2">
      <c r="B67" t="s">
        <v>176</v>
      </c>
      <c r="C67" s="12">
        <v>19</v>
      </c>
      <c r="D67" s="8">
        <v>1.3</v>
      </c>
      <c r="E67" s="12">
        <v>7</v>
      </c>
      <c r="F67" s="8">
        <v>1.1200000000000001</v>
      </c>
      <c r="G67" s="12">
        <v>12</v>
      </c>
      <c r="H67" s="8">
        <v>1.44</v>
      </c>
      <c r="I67" s="12">
        <v>0</v>
      </c>
    </row>
    <row r="68" spans="2:9" ht="15" customHeight="1" x14ac:dyDescent="0.2">
      <c r="B68" t="s">
        <v>188</v>
      </c>
      <c r="C68" s="12">
        <v>19</v>
      </c>
      <c r="D68" s="8">
        <v>1.3</v>
      </c>
      <c r="E68" s="12">
        <v>0</v>
      </c>
      <c r="F68" s="8">
        <v>0</v>
      </c>
      <c r="G68" s="12">
        <v>19</v>
      </c>
      <c r="H68" s="8">
        <v>2.29</v>
      </c>
      <c r="I68" s="12">
        <v>0</v>
      </c>
    </row>
    <row r="70" spans="2:9" ht="15" customHeight="1" x14ac:dyDescent="0.2">
      <c r="B70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82924-03C8-4F95-9D43-6952FA69EF40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306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361</v>
      </c>
      <c r="D6" s="8">
        <v>14.07</v>
      </c>
      <c r="E6" s="12">
        <v>58</v>
      </c>
      <c r="F6" s="8">
        <v>4.82</v>
      </c>
      <c r="G6" s="12">
        <v>303</v>
      </c>
      <c r="H6" s="8">
        <v>22.26</v>
      </c>
      <c r="I6" s="12">
        <v>0</v>
      </c>
    </row>
    <row r="7" spans="2:9" ht="15" customHeight="1" x14ac:dyDescent="0.2">
      <c r="B7" t="s">
        <v>77</v>
      </c>
      <c r="C7" s="12">
        <v>234</v>
      </c>
      <c r="D7" s="8">
        <v>9.1199999999999992</v>
      </c>
      <c r="E7" s="12">
        <v>84</v>
      </c>
      <c r="F7" s="8">
        <v>6.98</v>
      </c>
      <c r="G7" s="12">
        <v>150</v>
      </c>
      <c r="H7" s="8">
        <v>11.02</v>
      </c>
      <c r="I7" s="12">
        <v>0</v>
      </c>
    </row>
    <row r="8" spans="2:9" ht="15" customHeight="1" x14ac:dyDescent="0.2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79</v>
      </c>
      <c r="C9" s="12">
        <v>24</v>
      </c>
      <c r="D9" s="8">
        <v>0.94</v>
      </c>
      <c r="E9" s="12">
        <v>2</v>
      </c>
      <c r="F9" s="8">
        <v>0.17</v>
      </c>
      <c r="G9" s="12">
        <v>22</v>
      </c>
      <c r="H9" s="8">
        <v>1.62</v>
      </c>
      <c r="I9" s="12">
        <v>0</v>
      </c>
    </row>
    <row r="10" spans="2:9" ht="15" customHeight="1" x14ac:dyDescent="0.2">
      <c r="B10" t="s">
        <v>80</v>
      </c>
      <c r="C10" s="12">
        <v>14</v>
      </c>
      <c r="D10" s="8">
        <v>0.55000000000000004</v>
      </c>
      <c r="E10" s="12">
        <v>6</v>
      </c>
      <c r="F10" s="8">
        <v>0.5</v>
      </c>
      <c r="G10" s="12">
        <v>8</v>
      </c>
      <c r="H10" s="8">
        <v>0.59</v>
      </c>
      <c r="I10" s="12">
        <v>0</v>
      </c>
    </row>
    <row r="11" spans="2:9" ht="15" customHeight="1" x14ac:dyDescent="0.2">
      <c r="B11" t="s">
        <v>81</v>
      </c>
      <c r="C11" s="12">
        <v>469</v>
      </c>
      <c r="D11" s="8">
        <v>18.28</v>
      </c>
      <c r="E11" s="12">
        <v>231</v>
      </c>
      <c r="F11" s="8">
        <v>19.190000000000001</v>
      </c>
      <c r="G11" s="12">
        <v>238</v>
      </c>
      <c r="H11" s="8">
        <v>17.489999999999998</v>
      </c>
      <c r="I11" s="12">
        <v>0</v>
      </c>
    </row>
    <row r="12" spans="2:9" ht="15" customHeight="1" x14ac:dyDescent="0.2">
      <c r="B12" t="s">
        <v>82</v>
      </c>
      <c r="C12" s="12">
        <v>14</v>
      </c>
      <c r="D12" s="8">
        <v>0.55000000000000004</v>
      </c>
      <c r="E12" s="12">
        <v>4</v>
      </c>
      <c r="F12" s="8">
        <v>0.33</v>
      </c>
      <c r="G12" s="12">
        <v>10</v>
      </c>
      <c r="H12" s="8">
        <v>0.73</v>
      </c>
      <c r="I12" s="12">
        <v>0</v>
      </c>
    </row>
    <row r="13" spans="2:9" ht="15" customHeight="1" x14ac:dyDescent="0.2">
      <c r="B13" t="s">
        <v>83</v>
      </c>
      <c r="C13" s="12">
        <v>359</v>
      </c>
      <c r="D13" s="8">
        <v>13.99</v>
      </c>
      <c r="E13" s="12">
        <v>42</v>
      </c>
      <c r="F13" s="8">
        <v>3.49</v>
      </c>
      <c r="G13" s="12">
        <v>317</v>
      </c>
      <c r="H13" s="8">
        <v>23.29</v>
      </c>
      <c r="I13" s="12">
        <v>0</v>
      </c>
    </row>
    <row r="14" spans="2:9" ht="15" customHeight="1" x14ac:dyDescent="0.2">
      <c r="B14" t="s">
        <v>84</v>
      </c>
      <c r="C14" s="12">
        <v>119</v>
      </c>
      <c r="D14" s="8">
        <v>4.6399999999999997</v>
      </c>
      <c r="E14" s="12">
        <v>57</v>
      </c>
      <c r="F14" s="8">
        <v>4.7300000000000004</v>
      </c>
      <c r="G14" s="12">
        <v>62</v>
      </c>
      <c r="H14" s="8">
        <v>4.5599999999999996</v>
      </c>
      <c r="I14" s="12">
        <v>0</v>
      </c>
    </row>
    <row r="15" spans="2:9" ht="15" customHeight="1" x14ac:dyDescent="0.2">
      <c r="B15" t="s">
        <v>85</v>
      </c>
      <c r="C15" s="12">
        <v>283</v>
      </c>
      <c r="D15" s="8">
        <v>11.03</v>
      </c>
      <c r="E15" s="12">
        <v>249</v>
      </c>
      <c r="F15" s="8">
        <v>20.68</v>
      </c>
      <c r="G15" s="12">
        <v>33</v>
      </c>
      <c r="H15" s="8">
        <v>2.42</v>
      </c>
      <c r="I15" s="12">
        <v>0</v>
      </c>
    </row>
    <row r="16" spans="2:9" ht="15" customHeight="1" x14ac:dyDescent="0.2">
      <c r="B16" t="s">
        <v>86</v>
      </c>
      <c r="C16" s="12">
        <v>324</v>
      </c>
      <c r="D16" s="8">
        <v>12.63</v>
      </c>
      <c r="E16" s="12">
        <v>255</v>
      </c>
      <c r="F16" s="8">
        <v>21.18</v>
      </c>
      <c r="G16" s="12">
        <v>69</v>
      </c>
      <c r="H16" s="8">
        <v>5.07</v>
      </c>
      <c r="I16" s="12">
        <v>0</v>
      </c>
    </row>
    <row r="17" spans="2:9" ht="15" customHeight="1" x14ac:dyDescent="0.2">
      <c r="B17" t="s">
        <v>87</v>
      </c>
      <c r="C17" s="12">
        <v>95</v>
      </c>
      <c r="D17" s="8">
        <v>3.7</v>
      </c>
      <c r="E17" s="12">
        <v>69</v>
      </c>
      <c r="F17" s="8">
        <v>5.73</v>
      </c>
      <c r="G17" s="12">
        <v>26</v>
      </c>
      <c r="H17" s="8">
        <v>1.91</v>
      </c>
      <c r="I17" s="12">
        <v>0</v>
      </c>
    </row>
    <row r="18" spans="2:9" ht="15" customHeight="1" x14ac:dyDescent="0.2">
      <c r="B18" t="s">
        <v>88</v>
      </c>
      <c r="C18" s="12">
        <v>188</v>
      </c>
      <c r="D18" s="8">
        <v>7.33</v>
      </c>
      <c r="E18" s="12">
        <v>119</v>
      </c>
      <c r="F18" s="8">
        <v>9.8800000000000008</v>
      </c>
      <c r="G18" s="12">
        <v>69</v>
      </c>
      <c r="H18" s="8">
        <v>5.07</v>
      </c>
      <c r="I18" s="12">
        <v>0</v>
      </c>
    </row>
    <row r="19" spans="2:9" ht="15" customHeight="1" x14ac:dyDescent="0.2">
      <c r="B19" t="s">
        <v>89</v>
      </c>
      <c r="C19" s="12">
        <v>82</v>
      </c>
      <c r="D19" s="8">
        <v>3.2</v>
      </c>
      <c r="E19" s="12">
        <v>28</v>
      </c>
      <c r="F19" s="8">
        <v>2.33</v>
      </c>
      <c r="G19" s="12">
        <v>54</v>
      </c>
      <c r="H19" s="8">
        <v>3.97</v>
      </c>
      <c r="I19" s="12">
        <v>0</v>
      </c>
    </row>
    <row r="20" spans="2:9" ht="15" customHeight="1" x14ac:dyDescent="0.2">
      <c r="B20" s="9" t="s">
        <v>271</v>
      </c>
      <c r="C20" s="12">
        <f>SUM(LTBL_27146[総数／事業所数])</f>
        <v>2566</v>
      </c>
      <c r="E20" s="12">
        <f>SUBTOTAL(109,LTBL_27146[個人／事業所数])</f>
        <v>1204</v>
      </c>
      <c r="G20" s="12">
        <f>SUBTOTAL(109,LTBL_27146[法人／事業所数])</f>
        <v>1361</v>
      </c>
      <c r="I20" s="12">
        <f>SUBTOTAL(109,LTBL_27146[法人以外の団体／事業所数])</f>
        <v>0</v>
      </c>
    </row>
    <row r="21" spans="2:9" ht="15" customHeight="1" x14ac:dyDescent="0.2">
      <c r="E21" s="11">
        <f>LTBL_27146[[#Totals],[個人／事業所数]]/LTBL_27146[[#Totals],[総数／事業所数]]</f>
        <v>0.46921278254091969</v>
      </c>
      <c r="G21" s="11">
        <f>LTBL_27146[[#Totals],[法人／事業所数]]/LTBL_27146[[#Totals],[総数／事業所数]]</f>
        <v>0.53039750584567424</v>
      </c>
      <c r="I21" s="11">
        <f>LTBL_27146[[#Totals],[法人以外の団体／事業所数]]/LTBL_27146[[#Totals],[総数／事業所数]]</f>
        <v>0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110</v>
      </c>
      <c r="C24" s="12">
        <v>274</v>
      </c>
      <c r="D24" s="8">
        <v>10.68</v>
      </c>
      <c r="E24" s="12">
        <v>28</v>
      </c>
      <c r="F24" s="8">
        <v>2.33</v>
      </c>
      <c r="G24" s="12">
        <v>246</v>
      </c>
      <c r="H24" s="8">
        <v>18.07</v>
      </c>
      <c r="I24" s="12">
        <v>0</v>
      </c>
    </row>
    <row r="25" spans="2:9" ht="15" customHeight="1" x14ac:dyDescent="0.2">
      <c r="B25" t="s">
        <v>114</v>
      </c>
      <c r="C25" s="12">
        <v>274</v>
      </c>
      <c r="D25" s="8">
        <v>10.68</v>
      </c>
      <c r="E25" s="12">
        <v>232</v>
      </c>
      <c r="F25" s="8">
        <v>19.27</v>
      </c>
      <c r="G25" s="12">
        <v>42</v>
      </c>
      <c r="H25" s="8">
        <v>3.09</v>
      </c>
      <c r="I25" s="12">
        <v>0</v>
      </c>
    </row>
    <row r="26" spans="2:9" ht="15" customHeight="1" x14ac:dyDescent="0.2">
      <c r="B26" t="s">
        <v>113</v>
      </c>
      <c r="C26" s="12">
        <v>263</v>
      </c>
      <c r="D26" s="8">
        <v>10.25</v>
      </c>
      <c r="E26" s="12">
        <v>240</v>
      </c>
      <c r="F26" s="8">
        <v>19.93</v>
      </c>
      <c r="G26" s="12">
        <v>23</v>
      </c>
      <c r="H26" s="8">
        <v>1.69</v>
      </c>
      <c r="I26" s="12">
        <v>0</v>
      </c>
    </row>
    <row r="27" spans="2:9" ht="15" customHeight="1" x14ac:dyDescent="0.2">
      <c r="B27" t="s">
        <v>98</v>
      </c>
      <c r="C27" s="12">
        <v>142</v>
      </c>
      <c r="D27" s="8">
        <v>5.53</v>
      </c>
      <c r="E27" s="12">
        <v>20</v>
      </c>
      <c r="F27" s="8">
        <v>1.66</v>
      </c>
      <c r="G27" s="12">
        <v>122</v>
      </c>
      <c r="H27" s="8">
        <v>8.9600000000000009</v>
      </c>
      <c r="I27" s="12">
        <v>0</v>
      </c>
    </row>
    <row r="28" spans="2:9" ht="15" customHeight="1" x14ac:dyDescent="0.2">
      <c r="B28" t="s">
        <v>116</v>
      </c>
      <c r="C28" s="12">
        <v>142</v>
      </c>
      <c r="D28" s="8">
        <v>5.53</v>
      </c>
      <c r="E28" s="12">
        <v>118</v>
      </c>
      <c r="F28" s="8">
        <v>9.8000000000000007</v>
      </c>
      <c r="G28" s="12">
        <v>24</v>
      </c>
      <c r="H28" s="8">
        <v>1.76</v>
      </c>
      <c r="I28" s="12">
        <v>0</v>
      </c>
    </row>
    <row r="29" spans="2:9" ht="15" customHeight="1" x14ac:dyDescent="0.2">
      <c r="B29" t="s">
        <v>99</v>
      </c>
      <c r="C29" s="12">
        <v>124</v>
      </c>
      <c r="D29" s="8">
        <v>4.83</v>
      </c>
      <c r="E29" s="12">
        <v>18</v>
      </c>
      <c r="F29" s="8">
        <v>1.5</v>
      </c>
      <c r="G29" s="12">
        <v>106</v>
      </c>
      <c r="H29" s="8">
        <v>7.79</v>
      </c>
      <c r="I29" s="12">
        <v>0</v>
      </c>
    </row>
    <row r="30" spans="2:9" ht="15" customHeight="1" x14ac:dyDescent="0.2">
      <c r="B30" t="s">
        <v>108</v>
      </c>
      <c r="C30" s="12">
        <v>112</v>
      </c>
      <c r="D30" s="8">
        <v>4.3600000000000003</v>
      </c>
      <c r="E30" s="12">
        <v>61</v>
      </c>
      <c r="F30" s="8">
        <v>5.07</v>
      </c>
      <c r="G30" s="12">
        <v>51</v>
      </c>
      <c r="H30" s="8">
        <v>3.75</v>
      </c>
      <c r="I30" s="12">
        <v>0</v>
      </c>
    </row>
    <row r="31" spans="2:9" ht="15" customHeight="1" x14ac:dyDescent="0.2">
      <c r="B31" t="s">
        <v>100</v>
      </c>
      <c r="C31" s="12">
        <v>95</v>
      </c>
      <c r="D31" s="8">
        <v>3.7</v>
      </c>
      <c r="E31" s="12">
        <v>20</v>
      </c>
      <c r="F31" s="8">
        <v>1.66</v>
      </c>
      <c r="G31" s="12">
        <v>75</v>
      </c>
      <c r="H31" s="8">
        <v>5.51</v>
      </c>
      <c r="I31" s="12">
        <v>0</v>
      </c>
    </row>
    <row r="32" spans="2:9" ht="15" customHeight="1" x14ac:dyDescent="0.2">
      <c r="B32" t="s">
        <v>115</v>
      </c>
      <c r="C32" s="12">
        <v>95</v>
      </c>
      <c r="D32" s="8">
        <v>3.7</v>
      </c>
      <c r="E32" s="12">
        <v>69</v>
      </c>
      <c r="F32" s="8">
        <v>5.73</v>
      </c>
      <c r="G32" s="12">
        <v>26</v>
      </c>
      <c r="H32" s="8">
        <v>1.91</v>
      </c>
      <c r="I32" s="12">
        <v>0</v>
      </c>
    </row>
    <row r="33" spans="2:9" ht="15" customHeight="1" x14ac:dyDescent="0.2">
      <c r="B33" t="s">
        <v>111</v>
      </c>
      <c r="C33" s="12">
        <v>81</v>
      </c>
      <c r="D33" s="8">
        <v>3.16</v>
      </c>
      <c r="E33" s="12">
        <v>42</v>
      </c>
      <c r="F33" s="8">
        <v>3.49</v>
      </c>
      <c r="G33" s="12">
        <v>39</v>
      </c>
      <c r="H33" s="8">
        <v>2.87</v>
      </c>
      <c r="I33" s="12">
        <v>0</v>
      </c>
    </row>
    <row r="34" spans="2:9" ht="15" customHeight="1" x14ac:dyDescent="0.2">
      <c r="B34" t="s">
        <v>107</v>
      </c>
      <c r="C34" s="12">
        <v>74</v>
      </c>
      <c r="D34" s="8">
        <v>2.88</v>
      </c>
      <c r="E34" s="12">
        <v>47</v>
      </c>
      <c r="F34" s="8">
        <v>3.9</v>
      </c>
      <c r="G34" s="12">
        <v>27</v>
      </c>
      <c r="H34" s="8">
        <v>1.98</v>
      </c>
      <c r="I34" s="12">
        <v>0</v>
      </c>
    </row>
    <row r="35" spans="2:9" ht="15" customHeight="1" x14ac:dyDescent="0.2">
      <c r="B35" t="s">
        <v>106</v>
      </c>
      <c r="C35" s="12">
        <v>73</v>
      </c>
      <c r="D35" s="8">
        <v>2.84</v>
      </c>
      <c r="E35" s="12">
        <v>59</v>
      </c>
      <c r="F35" s="8">
        <v>4.9000000000000004</v>
      </c>
      <c r="G35" s="12">
        <v>14</v>
      </c>
      <c r="H35" s="8">
        <v>1.03</v>
      </c>
      <c r="I35" s="12">
        <v>0</v>
      </c>
    </row>
    <row r="36" spans="2:9" ht="15" customHeight="1" x14ac:dyDescent="0.2">
      <c r="B36" t="s">
        <v>109</v>
      </c>
      <c r="C36" s="12">
        <v>68</v>
      </c>
      <c r="D36" s="8">
        <v>2.65</v>
      </c>
      <c r="E36" s="12">
        <v>12</v>
      </c>
      <c r="F36" s="8">
        <v>1</v>
      </c>
      <c r="G36" s="12">
        <v>56</v>
      </c>
      <c r="H36" s="8">
        <v>4.1100000000000003</v>
      </c>
      <c r="I36" s="12">
        <v>0</v>
      </c>
    </row>
    <row r="37" spans="2:9" ht="15" customHeight="1" x14ac:dyDescent="0.2">
      <c r="B37" t="s">
        <v>105</v>
      </c>
      <c r="C37" s="12">
        <v>52</v>
      </c>
      <c r="D37" s="8">
        <v>2.0299999999999998</v>
      </c>
      <c r="E37" s="12">
        <v>27</v>
      </c>
      <c r="F37" s="8">
        <v>2.2400000000000002</v>
      </c>
      <c r="G37" s="12">
        <v>25</v>
      </c>
      <c r="H37" s="8">
        <v>1.84</v>
      </c>
      <c r="I37" s="12">
        <v>0</v>
      </c>
    </row>
    <row r="38" spans="2:9" ht="15" customHeight="1" x14ac:dyDescent="0.2">
      <c r="B38" t="s">
        <v>117</v>
      </c>
      <c r="C38" s="12">
        <v>46</v>
      </c>
      <c r="D38" s="8">
        <v>1.79</v>
      </c>
      <c r="E38" s="12">
        <v>1</v>
      </c>
      <c r="F38" s="8">
        <v>0.08</v>
      </c>
      <c r="G38" s="12">
        <v>45</v>
      </c>
      <c r="H38" s="8">
        <v>3.31</v>
      </c>
      <c r="I38" s="12">
        <v>0</v>
      </c>
    </row>
    <row r="39" spans="2:9" ht="15" customHeight="1" x14ac:dyDescent="0.2">
      <c r="B39" t="s">
        <v>104</v>
      </c>
      <c r="C39" s="12">
        <v>40</v>
      </c>
      <c r="D39" s="8">
        <v>1.56</v>
      </c>
      <c r="E39" s="12">
        <v>8</v>
      </c>
      <c r="F39" s="8">
        <v>0.66</v>
      </c>
      <c r="G39" s="12">
        <v>32</v>
      </c>
      <c r="H39" s="8">
        <v>2.35</v>
      </c>
      <c r="I39" s="12">
        <v>0</v>
      </c>
    </row>
    <row r="40" spans="2:9" ht="15" customHeight="1" x14ac:dyDescent="0.2">
      <c r="B40" t="s">
        <v>101</v>
      </c>
      <c r="C40" s="12">
        <v>39</v>
      </c>
      <c r="D40" s="8">
        <v>1.52</v>
      </c>
      <c r="E40" s="12">
        <v>13</v>
      </c>
      <c r="F40" s="8">
        <v>1.08</v>
      </c>
      <c r="G40" s="12">
        <v>26</v>
      </c>
      <c r="H40" s="8">
        <v>1.91</v>
      </c>
      <c r="I40" s="12">
        <v>0</v>
      </c>
    </row>
    <row r="41" spans="2:9" ht="15" customHeight="1" x14ac:dyDescent="0.2">
      <c r="B41" t="s">
        <v>103</v>
      </c>
      <c r="C41" s="12">
        <v>35</v>
      </c>
      <c r="D41" s="8">
        <v>1.36</v>
      </c>
      <c r="E41" s="12">
        <v>7</v>
      </c>
      <c r="F41" s="8">
        <v>0.57999999999999996</v>
      </c>
      <c r="G41" s="12">
        <v>28</v>
      </c>
      <c r="H41" s="8">
        <v>2.06</v>
      </c>
      <c r="I41" s="12">
        <v>0</v>
      </c>
    </row>
    <row r="42" spans="2:9" ht="15" customHeight="1" x14ac:dyDescent="0.2">
      <c r="B42" t="s">
        <v>112</v>
      </c>
      <c r="C42" s="12">
        <v>35</v>
      </c>
      <c r="D42" s="8">
        <v>1.36</v>
      </c>
      <c r="E42" s="12">
        <v>15</v>
      </c>
      <c r="F42" s="8">
        <v>1.25</v>
      </c>
      <c r="G42" s="12">
        <v>20</v>
      </c>
      <c r="H42" s="8">
        <v>1.47</v>
      </c>
      <c r="I42" s="12">
        <v>0</v>
      </c>
    </row>
    <row r="43" spans="2:9" ht="15" customHeight="1" x14ac:dyDescent="0.2">
      <c r="B43" t="s">
        <v>119</v>
      </c>
      <c r="C43" s="12">
        <v>32</v>
      </c>
      <c r="D43" s="8">
        <v>1.25</v>
      </c>
      <c r="E43" s="12">
        <v>3</v>
      </c>
      <c r="F43" s="8">
        <v>0.25</v>
      </c>
      <c r="G43" s="12">
        <v>29</v>
      </c>
      <c r="H43" s="8">
        <v>2.13</v>
      </c>
      <c r="I43" s="12">
        <v>0</v>
      </c>
    </row>
    <row r="46" spans="2:9" ht="33" customHeight="1" x14ac:dyDescent="0.2">
      <c r="B46" t="s">
        <v>273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169</v>
      </c>
      <c r="C47" s="12">
        <v>151</v>
      </c>
      <c r="D47" s="8">
        <v>5.88</v>
      </c>
      <c r="E47" s="12">
        <v>137</v>
      </c>
      <c r="F47" s="8">
        <v>11.38</v>
      </c>
      <c r="G47" s="12">
        <v>14</v>
      </c>
      <c r="H47" s="8">
        <v>1.03</v>
      </c>
      <c r="I47" s="12">
        <v>0</v>
      </c>
    </row>
    <row r="48" spans="2:9" ht="15" customHeight="1" x14ac:dyDescent="0.2">
      <c r="B48" t="s">
        <v>160</v>
      </c>
      <c r="C48" s="12">
        <v>120</v>
      </c>
      <c r="D48" s="8">
        <v>4.68</v>
      </c>
      <c r="E48" s="12">
        <v>18</v>
      </c>
      <c r="F48" s="8">
        <v>1.5</v>
      </c>
      <c r="G48" s="12">
        <v>102</v>
      </c>
      <c r="H48" s="8">
        <v>7.49</v>
      </c>
      <c r="I48" s="12">
        <v>0</v>
      </c>
    </row>
    <row r="49" spans="2:9" ht="15" customHeight="1" x14ac:dyDescent="0.2">
      <c r="B49" t="s">
        <v>171</v>
      </c>
      <c r="C49" s="12">
        <v>99</v>
      </c>
      <c r="D49" s="8">
        <v>3.86</v>
      </c>
      <c r="E49" s="12">
        <v>85</v>
      </c>
      <c r="F49" s="8">
        <v>7.06</v>
      </c>
      <c r="G49" s="12">
        <v>14</v>
      </c>
      <c r="H49" s="8">
        <v>1.03</v>
      </c>
      <c r="I49" s="12">
        <v>0</v>
      </c>
    </row>
    <row r="50" spans="2:9" ht="15" customHeight="1" x14ac:dyDescent="0.2">
      <c r="B50" t="s">
        <v>162</v>
      </c>
      <c r="C50" s="12">
        <v>74</v>
      </c>
      <c r="D50" s="8">
        <v>2.88</v>
      </c>
      <c r="E50" s="12">
        <v>3</v>
      </c>
      <c r="F50" s="8">
        <v>0.25</v>
      </c>
      <c r="G50" s="12">
        <v>71</v>
      </c>
      <c r="H50" s="8">
        <v>5.22</v>
      </c>
      <c r="I50" s="12">
        <v>0</v>
      </c>
    </row>
    <row r="51" spans="2:9" ht="15" customHeight="1" x14ac:dyDescent="0.2">
      <c r="B51" t="s">
        <v>165</v>
      </c>
      <c r="C51" s="12">
        <v>70</v>
      </c>
      <c r="D51" s="8">
        <v>2.73</v>
      </c>
      <c r="E51" s="12">
        <v>64</v>
      </c>
      <c r="F51" s="8">
        <v>5.32</v>
      </c>
      <c r="G51" s="12">
        <v>6</v>
      </c>
      <c r="H51" s="8">
        <v>0.44</v>
      </c>
      <c r="I51" s="12">
        <v>0</v>
      </c>
    </row>
    <row r="52" spans="2:9" ht="15" customHeight="1" x14ac:dyDescent="0.2">
      <c r="B52" t="s">
        <v>168</v>
      </c>
      <c r="C52" s="12">
        <v>70</v>
      </c>
      <c r="D52" s="8">
        <v>2.73</v>
      </c>
      <c r="E52" s="12">
        <v>67</v>
      </c>
      <c r="F52" s="8">
        <v>5.56</v>
      </c>
      <c r="G52" s="12">
        <v>3</v>
      </c>
      <c r="H52" s="8">
        <v>0.22</v>
      </c>
      <c r="I52" s="12">
        <v>0</v>
      </c>
    </row>
    <row r="53" spans="2:9" ht="15" customHeight="1" x14ac:dyDescent="0.2">
      <c r="B53" t="s">
        <v>167</v>
      </c>
      <c r="C53" s="12">
        <v>69</v>
      </c>
      <c r="D53" s="8">
        <v>2.69</v>
      </c>
      <c r="E53" s="12">
        <v>66</v>
      </c>
      <c r="F53" s="8">
        <v>5.48</v>
      </c>
      <c r="G53" s="12">
        <v>3</v>
      </c>
      <c r="H53" s="8">
        <v>0.22</v>
      </c>
      <c r="I53" s="12">
        <v>0</v>
      </c>
    </row>
    <row r="54" spans="2:9" ht="15" customHeight="1" x14ac:dyDescent="0.2">
      <c r="B54" t="s">
        <v>159</v>
      </c>
      <c r="C54" s="12">
        <v>60</v>
      </c>
      <c r="D54" s="8">
        <v>2.34</v>
      </c>
      <c r="E54" s="12">
        <v>2</v>
      </c>
      <c r="F54" s="8">
        <v>0.17</v>
      </c>
      <c r="G54" s="12">
        <v>58</v>
      </c>
      <c r="H54" s="8">
        <v>4.26</v>
      </c>
      <c r="I54" s="12">
        <v>0</v>
      </c>
    </row>
    <row r="55" spans="2:9" ht="15" customHeight="1" x14ac:dyDescent="0.2">
      <c r="B55" t="s">
        <v>152</v>
      </c>
      <c r="C55" s="12">
        <v>55</v>
      </c>
      <c r="D55" s="8">
        <v>2.14</v>
      </c>
      <c r="E55" s="12">
        <v>4</v>
      </c>
      <c r="F55" s="8">
        <v>0.33</v>
      </c>
      <c r="G55" s="12">
        <v>51</v>
      </c>
      <c r="H55" s="8">
        <v>3.75</v>
      </c>
      <c r="I55" s="12">
        <v>0</v>
      </c>
    </row>
    <row r="56" spans="2:9" ht="15" customHeight="1" x14ac:dyDescent="0.2">
      <c r="B56" t="s">
        <v>164</v>
      </c>
      <c r="C56" s="12">
        <v>52</v>
      </c>
      <c r="D56" s="8">
        <v>2.0299999999999998</v>
      </c>
      <c r="E56" s="12">
        <v>45</v>
      </c>
      <c r="F56" s="8">
        <v>3.74</v>
      </c>
      <c r="G56" s="12">
        <v>7</v>
      </c>
      <c r="H56" s="8">
        <v>0.51</v>
      </c>
      <c r="I56" s="12">
        <v>0</v>
      </c>
    </row>
    <row r="57" spans="2:9" ht="15" customHeight="1" x14ac:dyDescent="0.2">
      <c r="B57" t="s">
        <v>170</v>
      </c>
      <c r="C57" s="12">
        <v>52</v>
      </c>
      <c r="D57" s="8">
        <v>2.0299999999999998</v>
      </c>
      <c r="E57" s="12">
        <v>44</v>
      </c>
      <c r="F57" s="8">
        <v>3.65</v>
      </c>
      <c r="G57" s="12">
        <v>8</v>
      </c>
      <c r="H57" s="8">
        <v>0.59</v>
      </c>
      <c r="I57" s="12">
        <v>0</v>
      </c>
    </row>
    <row r="58" spans="2:9" ht="15" customHeight="1" x14ac:dyDescent="0.2">
      <c r="B58" t="s">
        <v>153</v>
      </c>
      <c r="C58" s="12">
        <v>45</v>
      </c>
      <c r="D58" s="8">
        <v>1.75</v>
      </c>
      <c r="E58" s="12">
        <v>12</v>
      </c>
      <c r="F58" s="8">
        <v>1</v>
      </c>
      <c r="G58" s="12">
        <v>33</v>
      </c>
      <c r="H58" s="8">
        <v>2.42</v>
      </c>
      <c r="I58" s="12">
        <v>0</v>
      </c>
    </row>
    <row r="59" spans="2:9" ht="15" customHeight="1" x14ac:dyDescent="0.2">
      <c r="B59" t="s">
        <v>158</v>
      </c>
      <c r="C59" s="12">
        <v>41</v>
      </c>
      <c r="D59" s="8">
        <v>1.6</v>
      </c>
      <c r="E59" s="12">
        <v>9</v>
      </c>
      <c r="F59" s="8">
        <v>0.75</v>
      </c>
      <c r="G59" s="12">
        <v>32</v>
      </c>
      <c r="H59" s="8">
        <v>2.35</v>
      </c>
      <c r="I59" s="12">
        <v>0</v>
      </c>
    </row>
    <row r="60" spans="2:9" ht="15" customHeight="1" x14ac:dyDescent="0.2">
      <c r="B60" t="s">
        <v>215</v>
      </c>
      <c r="C60" s="12">
        <v>38</v>
      </c>
      <c r="D60" s="8">
        <v>1.48</v>
      </c>
      <c r="E60" s="12">
        <v>21</v>
      </c>
      <c r="F60" s="8">
        <v>1.74</v>
      </c>
      <c r="G60" s="12">
        <v>17</v>
      </c>
      <c r="H60" s="8">
        <v>1.25</v>
      </c>
      <c r="I60" s="12">
        <v>0</v>
      </c>
    </row>
    <row r="61" spans="2:9" ht="15" customHeight="1" x14ac:dyDescent="0.2">
      <c r="B61" t="s">
        <v>199</v>
      </c>
      <c r="C61" s="12">
        <v>38</v>
      </c>
      <c r="D61" s="8">
        <v>1.48</v>
      </c>
      <c r="E61" s="12">
        <v>25</v>
      </c>
      <c r="F61" s="8">
        <v>2.08</v>
      </c>
      <c r="G61" s="12">
        <v>13</v>
      </c>
      <c r="H61" s="8">
        <v>0.96</v>
      </c>
      <c r="I61" s="12">
        <v>0</v>
      </c>
    </row>
    <row r="62" spans="2:9" ht="15" customHeight="1" x14ac:dyDescent="0.2">
      <c r="B62" t="s">
        <v>211</v>
      </c>
      <c r="C62" s="12">
        <v>33</v>
      </c>
      <c r="D62" s="8">
        <v>1.29</v>
      </c>
      <c r="E62" s="12">
        <v>29</v>
      </c>
      <c r="F62" s="8">
        <v>2.41</v>
      </c>
      <c r="G62" s="12">
        <v>4</v>
      </c>
      <c r="H62" s="8">
        <v>0.28999999999999998</v>
      </c>
      <c r="I62" s="12">
        <v>0</v>
      </c>
    </row>
    <row r="63" spans="2:9" ht="15" customHeight="1" x14ac:dyDescent="0.2">
      <c r="B63" t="s">
        <v>218</v>
      </c>
      <c r="C63" s="12">
        <v>31</v>
      </c>
      <c r="D63" s="8">
        <v>1.21</v>
      </c>
      <c r="E63" s="12">
        <v>4</v>
      </c>
      <c r="F63" s="8">
        <v>0.33</v>
      </c>
      <c r="G63" s="12">
        <v>27</v>
      </c>
      <c r="H63" s="8">
        <v>1.98</v>
      </c>
      <c r="I63" s="12">
        <v>0</v>
      </c>
    </row>
    <row r="64" spans="2:9" ht="15" customHeight="1" x14ac:dyDescent="0.2">
      <c r="B64" t="s">
        <v>191</v>
      </c>
      <c r="C64" s="12">
        <v>29</v>
      </c>
      <c r="D64" s="8">
        <v>1.1299999999999999</v>
      </c>
      <c r="E64" s="12">
        <v>3</v>
      </c>
      <c r="F64" s="8">
        <v>0.25</v>
      </c>
      <c r="G64" s="12">
        <v>26</v>
      </c>
      <c r="H64" s="8">
        <v>1.91</v>
      </c>
      <c r="I64" s="12">
        <v>0</v>
      </c>
    </row>
    <row r="65" spans="2:9" ht="15" customHeight="1" x14ac:dyDescent="0.2">
      <c r="B65" t="s">
        <v>176</v>
      </c>
      <c r="C65" s="12">
        <v>29</v>
      </c>
      <c r="D65" s="8">
        <v>1.1299999999999999</v>
      </c>
      <c r="E65" s="12">
        <v>16</v>
      </c>
      <c r="F65" s="8">
        <v>1.33</v>
      </c>
      <c r="G65" s="12">
        <v>13</v>
      </c>
      <c r="H65" s="8">
        <v>0.96</v>
      </c>
      <c r="I65" s="12">
        <v>0</v>
      </c>
    </row>
    <row r="66" spans="2:9" ht="15" customHeight="1" x14ac:dyDescent="0.2">
      <c r="B66" t="s">
        <v>157</v>
      </c>
      <c r="C66" s="12">
        <v>29</v>
      </c>
      <c r="D66" s="8">
        <v>1.1299999999999999</v>
      </c>
      <c r="E66" s="12">
        <v>23</v>
      </c>
      <c r="F66" s="8">
        <v>1.91</v>
      </c>
      <c r="G66" s="12">
        <v>6</v>
      </c>
      <c r="H66" s="8">
        <v>0.44</v>
      </c>
      <c r="I66" s="12">
        <v>0</v>
      </c>
    </row>
    <row r="67" spans="2:9" ht="15" customHeight="1" x14ac:dyDescent="0.2">
      <c r="B67" t="s">
        <v>196</v>
      </c>
      <c r="C67" s="12">
        <v>29</v>
      </c>
      <c r="D67" s="8">
        <v>1.1299999999999999</v>
      </c>
      <c r="E67" s="12">
        <v>9</v>
      </c>
      <c r="F67" s="8">
        <v>0.75</v>
      </c>
      <c r="G67" s="12">
        <v>20</v>
      </c>
      <c r="H67" s="8">
        <v>1.47</v>
      </c>
      <c r="I67" s="12">
        <v>0</v>
      </c>
    </row>
    <row r="69" spans="2:9" ht="15" customHeight="1" x14ac:dyDescent="0.2">
      <c r="B69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E4BAC-DDCE-45B6-9DEE-63A1A5BB91B5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307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179</v>
      </c>
      <c r="D6" s="8">
        <v>17.899999999999999</v>
      </c>
      <c r="E6" s="12">
        <v>34</v>
      </c>
      <c r="F6" s="8">
        <v>9.19</v>
      </c>
      <c r="G6" s="12">
        <v>145</v>
      </c>
      <c r="H6" s="8">
        <v>23.2</v>
      </c>
      <c r="I6" s="12">
        <v>0</v>
      </c>
    </row>
    <row r="7" spans="2:9" ht="15" customHeight="1" x14ac:dyDescent="0.2">
      <c r="B7" t="s">
        <v>77</v>
      </c>
      <c r="C7" s="12">
        <v>289</v>
      </c>
      <c r="D7" s="8">
        <v>28.9</v>
      </c>
      <c r="E7" s="12">
        <v>72</v>
      </c>
      <c r="F7" s="8">
        <v>19.46</v>
      </c>
      <c r="G7" s="12">
        <v>217</v>
      </c>
      <c r="H7" s="8">
        <v>34.72</v>
      </c>
      <c r="I7" s="12">
        <v>0</v>
      </c>
    </row>
    <row r="8" spans="2:9" ht="15" customHeight="1" x14ac:dyDescent="0.2">
      <c r="B8" t="s">
        <v>78</v>
      </c>
      <c r="C8" s="12">
        <v>1</v>
      </c>
      <c r="D8" s="8">
        <v>0.1</v>
      </c>
      <c r="E8" s="12">
        <v>0</v>
      </c>
      <c r="F8" s="8">
        <v>0</v>
      </c>
      <c r="G8" s="12">
        <v>1</v>
      </c>
      <c r="H8" s="8">
        <v>0.16</v>
      </c>
      <c r="I8" s="12">
        <v>0</v>
      </c>
    </row>
    <row r="9" spans="2:9" ht="15" customHeight="1" x14ac:dyDescent="0.2">
      <c r="B9" t="s">
        <v>79</v>
      </c>
      <c r="C9" s="12">
        <v>6</v>
      </c>
      <c r="D9" s="8">
        <v>0.6</v>
      </c>
      <c r="E9" s="12">
        <v>0</v>
      </c>
      <c r="F9" s="8">
        <v>0</v>
      </c>
      <c r="G9" s="12">
        <v>6</v>
      </c>
      <c r="H9" s="8">
        <v>0.96</v>
      </c>
      <c r="I9" s="12">
        <v>0</v>
      </c>
    </row>
    <row r="10" spans="2:9" ht="15" customHeight="1" x14ac:dyDescent="0.2">
      <c r="B10" t="s">
        <v>80</v>
      </c>
      <c r="C10" s="12">
        <v>17</v>
      </c>
      <c r="D10" s="8">
        <v>1.7</v>
      </c>
      <c r="E10" s="12">
        <v>3</v>
      </c>
      <c r="F10" s="8">
        <v>0.81</v>
      </c>
      <c r="G10" s="12">
        <v>14</v>
      </c>
      <c r="H10" s="8">
        <v>2.2400000000000002</v>
      </c>
      <c r="I10" s="12">
        <v>0</v>
      </c>
    </row>
    <row r="11" spans="2:9" ht="15" customHeight="1" x14ac:dyDescent="0.2">
      <c r="B11" t="s">
        <v>81</v>
      </c>
      <c r="C11" s="12">
        <v>137</v>
      </c>
      <c r="D11" s="8">
        <v>13.7</v>
      </c>
      <c r="E11" s="12">
        <v>56</v>
      </c>
      <c r="F11" s="8">
        <v>15.14</v>
      </c>
      <c r="G11" s="12">
        <v>81</v>
      </c>
      <c r="H11" s="8">
        <v>12.96</v>
      </c>
      <c r="I11" s="12">
        <v>0</v>
      </c>
    </row>
    <row r="12" spans="2:9" ht="15" customHeight="1" x14ac:dyDescent="0.2">
      <c r="B12" t="s">
        <v>82</v>
      </c>
      <c r="C12" s="12">
        <v>3</v>
      </c>
      <c r="D12" s="8">
        <v>0.3</v>
      </c>
      <c r="E12" s="12">
        <v>2</v>
      </c>
      <c r="F12" s="8">
        <v>0.54</v>
      </c>
      <c r="G12" s="12">
        <v>1</v>
      </c>
      <c r="H12" s="8">
        <v>0.16</v>
      </c>
      <c r="I12" s="12">
        <v>0</v>
      </c>
    </row>
    <row r="13" spans="2:9" ht="15" customHeight="1" x14ac:dyDescent="0.2">
      <c r="B13" t="s">
        <v>83</v>
      </c>
      <c r="C13" s="12">
        <v>179</v>
      </c>
      <c r="D13" s="8">
        <v>17.899999999999999</v>
      </c>
      <c r="E13" s="12">
        <v>92</v>
      </c>
      <c r="F13" s="8">
        <v>24.86</v>
      </c>
      <c r="G13" s="12">
        <v>87</v>
      </c>
      <c r="H13" s="8">
        <v>13.92</v>
      </c>
      <c r="I13" s="12">
        <v>0</v>
      </c>
    </row>
    <row r="14" spans="2:9" ht="15" customHeight="1" x14ac:dyDescent="0.2">
      <c r="B14" t="s">
        <v>84</v>
      </c>
      <c r="C14" s="12">
        <v>24</v>
      </c>
      <c r="D14" s="8">
        <v>2.4</v>
      </c>
      <c r="E14" s="12">
        <v>5</v>
      </c>
      <c r="F14" s="8">
        <v>1.35</v>
      </c>
      <c r="G14" s="12">
        <v>19</v>
      </c>
      <c r="H14" s="8">
        <v>3.04</v>
      </c>
      <c r="I14" s="12">
        <v>0</v>
      </c>
    </row>
    <row r="15" spans="2:9" ht="15" customHeight="1" x14ac:dyDescent="0.2">
      <c r="B15" t="s">
        <v>85</v>
      </c>
      <c r="C15" s="12">
        <v>47</v>
      </c>
      <c r="D15" s="8">
        <v>4.7</v>
      </c>
      <c r="E15" s="12">
        <v>36</v>
      </c>
      <c r="F15" s="8">
        <v>9.73</v>
      </c>
      <c r="G15" s="12">
        <v>11</v>
      </c>
      <c r="H15" s="8">
        <v>1.76</v>
      </c>
      <c r="I15" s="12">
        <v>0</v>
      </c>
    </row>
    <row r="16" spans="2:9" ht="15" customHeight="1" x14ac:dyDescent="0.2">
      <c r="B16" t="s">
        <v>86</v>
      </c>
      <c r="C16" s="12">
        <v>41</v>
      </c>
      <c r="D16" s="8">
        <v>4.0999999999999996</v>
      </c>
      <c r="E16" s="12">
        <v>32</v>
      </c>
      <c r="F16" s="8">
        <v>8.65</v>
      </c>
      <c r="G16" s="12">
        <v>8</v>
      </c>
      <c r="H16" s="8">
        <v>1.28</v>
      </c>
      <c r="I16" s="12">
        <v>1</v>
      </c>
    </row>
    <row r="17" spans="2:9" ht="15" customHeight="1" x14ac:dyDescent="0.2">
      <c r="B17" t="s">
        <v>87</v>
      </c>
      <c r="C17" s="12">
        <v>11</v>
      </c>
      <c r="D17" s="8">
        <v>1.1000000000000001</v>
      </c>
      <c r="E17" s="12">
        <v>10</v>
      </c>
      <c r="F17" s="8">
        <v>2.7</v>
      </c>
      <c r="G17" s="12">
        <v>1</v>
      </c>
      <c r="H17" s="8">
        <v>0.16</v>
      </c>
      <c r="I17" s="12">
        <v>0</v>
      </c>
    </row>
    <row r="18" spans="2:9" ht="15" customHeight="1" x14ac:dyDescent="0.2">
      <c r="B18" t="s">
        <v>88</v>
      </c>
      <c r="C18" s="12">
        <v>25</v>
      </c>
      <c r="D18" s="8">
        <v>2.5</v>
      </c>
      <c r="E18" s="12">
        <v>10</v>
      </c>
      <c r="F18" s="8">
        <v>2.7</v>
      </c>
      <c r="G18" s="12">
        <v>11</v>
      </c>
      <c r="H18" s="8">
        <v>1.76</v>
      </c>
      <c r="I18" s="12">
        <v>0</v>
      </c>
    </row>
    <row r="19" spans="2:9" ht="15" customHeight="1" x14ac:dyDescent="0.2">
      <c r="B19" t="s">
        <v>89</v>
      </c>
      <c r="C19" s="12">
        <v>41</v>
      </c>
      <c r="D19" s="8">
        <v>4.0999999999999996</v>
      </c>
      <c r="E19" s="12">
        <v>18</v>
      </c>
      <c r="F19" s="8">
        <v>4.8600000000000003</v>
      </c>
      <c r="G19" s="12">
        <v>23</v>
      </c>
      <c r="H19" s="8">
        <v>3.68</v>
      </c>
      <c r="I19" s="12">
        <v>0</v>
      </c>
    </row>
    <row r="20" spans="2:9" ht="15" customHeight="1" x14ac:dyDescent="0.2">
      <c r="B20" s="9" t="s">
        <v>271</v>
      </c>
      <c r="C20" s="12">
        <f>SUM(LTBL_27147[総数／事業所数])</f>
        <v>1000</v>
      </c>
      <c r="E20" s="12">
        <f>SUBTOTAL(109,LTBL_27147[個人／事業所数])</f>
        <v>370</v>
      </c>
      <c r="G20" s="12">
        <f>SUBTOTAL(109,LTBL_27147[法人／事業所数])</f>
        <v>625</v>
      </c>
      <c r="I20" s="12">
        <f>SUBTOTAL(109,LTBL_27147[法人以外の団体／事業所数])</f>
        <v>1</v>
      </c>
    </row>
    <row r="21" spans="2:9" ht="15" customHeight="1" x14ac:dyDescent="0.2">
      <c r="E21" s="11">
        <f>LTBL_27147[[#Totals],[個人／事業所数]]/LTBL_27147[[#Totals],[総数／事業所数]]</f>
        <v>0.37</v>
      </c>
      <c r="G21" s="11">
        <f>LTBL_27147[[#Totals],[法人／事業所数]]/LTBL_27147[[#Totals],[総数／事業所数]]</f>
        <v>0.625</v>
      </c>
      <c r="I21" s="11">
        <f>LTBL_27147[[#Totals],[法人以外の団体／事業所数]]/LTBL_27147[[#Totals],[総数／事業所数]]</f>
        <v>1E-3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110</v>
      </c>
      <c r="C24" s="12">
        <v>162</v>
      </c>
      <c r="D24" s="8">
        <v>16.2</v>
      </c>
      <c r="E24" s="12">
        <v>89</v>
      </c>
      <c r="F24" s="8">
        <v>24.05</v>
      </c>
      <c r="G24" s="12">
        <v>73</v>
      </c>
      <c r="H24" s="8">
        <v>11.68</v>
      </c>
      <c r="I24" s="12">
        <v>0</v>
      </c>
    </row>
    <row r="25" spans="2:9" ht="15" customHeight="1" x14ac:dyDescent="0.2">
      <c r="B25" t="s">
        <v>101</v>
      </c>
      <c r="C25" s="12">
        <v>76</v>
      </c>
      <c r="D25" s="8">
        <v>7.6</v>
      </c>
      <c r="E25" s="12">
        <v>22</v>
      </c>
      <c r="F25" s="8">
        <v>5.95</v>
      </c>
      <c r="G25" s="12">
        <v>54</v>
      </c>
      <c r="H25" s="8">
        <v>8.64</v>
      </c>
      <c r="I25" s="12">
        <v>0</v>
      </c>
    </row>
    <row r="26" spans="2:9" ht="15" customHeight="1" x14ac:dyDescent="0.2">
      <c r="B26" t="s">
        <v>98</v>
      </c>
      <c r="C26" s="12">
        <v>74</v>
      </c>
      <c r="D26" s="8">
        <v>7.4</v>
      </c>
      <c r="E26" s="12">
        <v>11</v>
      </c>
      <c r="F26" s="8">
        <v>2.97</v>
      </c>
      <c r="G26" s="12">
        <v>63</v>
      </c>
      <c r="H26" s="8">
        <v>10.08</v>
      </c>
      <c r="I26" s="12">
        <v>0</v>
      </c>
    </row>
    <row r="27" spans="2:9" ht="15" customHeight="1" x14ac:dyDescent="0.2">
      <c r="B27" t="s">
        <v>99</v>
      </c>
      <c r="C27" s="12">
        <v>54</v>
      </c>
      <c r="D27" s="8">
        <v>5.4</v>
      </c>
      <c r="E27" s="12">
        <v>11</v>
      </c>
      <c r="F27" s="8">
        <v>2.97</v>
      </c>
      <c r="G27" s="12">
        <v>43</v>
      </c>
      <c r="H27" s="8">
        <v>6.88</v>
      </c>
      <c r="I27" s="12">
        <v>0</v>
      </c>
    </row>
    <row r="28" spans="2:9" ht="15" customHeight="1" x14ac:dyDescent="0.2">
      <c r="B28" t="s">
        <v>100</v>
      </c>
      <c r="C28" s="12">
        <v>51</v>
      </c>
      <c r="D28" s="8">
        <v>5.0999999999999996</v>
      </c>
      <c r="E28" s="12">
        <v>12</v>
      </c>
      <c r="F28" s="8">
        <v>3.24</v>
      </c>
      <c r="G28" s="12">
        <v>39</v>
      </c>
      <c r="H28" s="8">
        <v>6.24</v>
      </c>
      <c r="I28" s="12">
        <v>0</v>
      </c>
    </row>
    <row r="29" spans="2:9" ht="15" customHeight="1" x14ac:dyDescent="0.2">
      <c r="B29" t="s">
        <v>113</v>
      </c>
      <c r="C29" s="12">
        <v>41</v>
      </c>
      <c r="D29" s="8">
        <v>4.0999999999999996</v>
      </c>
      <c r="E29" s="12">
        <v>35</v>
      </c>
      <c r="F29" s="8">
        <v>9.4600000000000009</v>
      </c>
      <c r="G29" s="12">
        <v>6</v>
      </c>
      <c r="H29" s="8">
        <v>0.96</v>
      </c>
      <c r="I29" s="12">
        <v>0</v>
      </c>
    </row>
    <row r="30" spans="2:9" ht="15" customHeight="1" x14ac:dyDescent="0.2">
      <c r="B30" t="s">
        <v>142</v>
      </c>
      <c r="C30" s="12">
        <v>38</v>
      </c>
      <c r="D30" s="8">
        <v>3.8</v>
      </c>
      <c r="E30" s="12">
        <v>13</v>
      </c>
      <c r="F30" s="8">
        <v>3.51</v>
      </c>
      <c r="G30" s="12">
        <v>25</v>
      </c>
      <c r="H30" s="8">
        <v>4</v>
      </c>
      <c r="I30" s="12">
        <v>0</v>
      </c>
    </row>
    <row r="31" spans="2:9" ht="15" customHeight="1" x14ac:dyDescent="0.2">
      <c r="B31" t="s">
        <v>107</v>
      </c>
      <c r="C31" s="12">
        <v>35</v>
      </c>
      <c r="D31" s="8">
        <v>3.5</v>
      </c>
      <c r="E31" s="12">
        <v>19</v>
      </c>
      <c r="F31" s="8">
        <v>5.14</v>
      </c>
      <c r="G31" s="12">
        <v>16</v>
      </c>
      <c r="H31" s="8">
        <v>2.56</v>
      </c>
      <c r="I31" s="12">
        <v>0</v>
      </c>
    </row>
    <row r="32" spans="2:9" ht="15" customHeight="1" x14ac:dyDescent="0.2">
      <c r="B32" t="s">
        <v>114</v>
      </c>
      <c r="C32" s="12">
        <v>31</v>
      </c>
      <c r="D32" s="8">
        <v>3.1</v>
      </c>
      <c r="E32" s="12">
        <v>26</v>
      </c>
      <c r="F32" s="8">
        <v>7.03</v>
      </c>
      <c r="G32" s="12">
        <v>5</v>
      </c>
      <c r="H32" s="8">
        <v>0.8</v>
      </c>
      <c r="I32" s="12">
        <v>0</v>
      </c>
    </row>
    <row r="33" spans="2:9" ht="15" customHeight="1" x14ac:dyDescent="0.2">
      <c r="B33" t="s">
        <v>127</v>
      </c>
      <c r="C33" s="12">
        <v>28</v>
      </c>
      <c r="D33" s="8">
        <v>2.8</v>
      </c>
      <c r="E33" s="12">
        <v>5</v>
      </c>
      <c r="F33" s="8">
        <v>1.35</v>
      </c>
      <c r="G33" s="12">
        <v>23</v>
      </c>
      <c r="H33" s="8">
        <v>3.68</v>
      </c>
      <c r="I33" s="12">
        <v>0</v>
      </c>
    </row>
    <row r="34" spans="2:9" ht="15" customHeight="1" x14ac:dyDescent="0.2">
      <c r="B34" t="s">
        <v>132</v>
      </c>
      <c r="C34" s="12">
        <v>24</v>
      </c>
      <c r="D34" s="8">
        <v>2.4</v>
      </c>
      <c r="E34" s="12">
        <v>2</v>
      </c>
      <c r="F34" s="8">
        <v>0.54</v>
      </c>
      <c r="G34" s="12">
        <v>22</v>
      </c>
      <c r="H34" s="8">
        <v>3.52</v>
      </c>
      <c r="I34" s="12">
        <v>0</v>
      </c>
    </row>
    <row r="35" spans="2:9" ht="15" customHeight="1" x14ac:dyDescent="0.2">
      <c r="B35" t="s">
        <v>102</v>
      </c>
      <c r="C35" s="12">
        <v>23</v>
      </c>
      <c r="D35" s="8">
        <v>2.2999999999999998</v>
      </c>
      <c r="E35" s="12">
        <v>4</v>
      </c>
      <c r="F35" s="8">
        <v>1.08</v>
      </c>
      <c r="G35" s="12">
        <v>19</v>
      </c>
      <c r="H35" s="8">
        <v>3.04</v>
      </c>
      <c r="I35" s="12">
        <v>0</v>
      </c>
    </row>
    <row r="36" spans="2:9" ht="15" customHeight="1" x14ac:dyDescent="0.2">
      <c r="B36" t="s">
        <v>103</v>
      </c>
      <c r="C36" s="12">
        <v>20</v>
      </c>
      <c r="D36" s="8">
        <v>2</v>
      </c>
      <c r="E36" s="12">
        <v>5</v>
      </c>
      <c r="F36" s="8">
        <v>1.35</v>
      </c>
      <c r="G36" s="12">
        <v>15</v>
      </c>
      <c r="H36" s="8">
        <v>2.4</v>
      </c>
      <c r="I36" s="12">
        <v>0</v>
      </c>
    </row>
    <row r="37" spans="2:9" ht="15" customHeight="1" x14ac:dyDescent="0.2">
      <c r="B37" t="s">
        <v>108</v>
      </c>
      <c r="C37" s="12">
        <v>19</v>
      </c>
      <c r="D37" s="8">
        <v>1.9</v>
      </c>
      <c r="E37" s="12">
        <v>12</v>
      </c>
      <c r="F37" s="8">
        <v>3.24</v>
      </c>
      <c r="G37" s="12">
        <v>7</v>
      </c>
      <c r="H37" s="8">
        <v>1.1200000000000001</v>
      </c>
      <c r="I37" s="12">
        <v>0</v>
      </c>
    </row>
    <row r="38" spans="2:9" ht="15" customHeight="1" x14ac:dyDescent="0.2">
      <c r="B38" t="s">
        <v>129</v>
      </c>
      <c r="C38" s="12">
        <v>19</v>
      </c>
      <c r="D38" s="8">
        <v>1.9</v>
      </c>
      <c r="E38" s="12">
        <v>14</v>
      </c>
      <c r="F38" s="8">
        <v>3.78</v>
      </c>
      <c r="G38" s="12">
        <v>5</v>
      </c>
      <c r="H38" s="8">
        <v>0.8</v>
      </c>
      <c r="I38" s="12">
        <v>0</v>
      </c>
    </row>
    <row r="39" spans="2:9" ht="15" customHeight="1" x14ac:dyDescent="0.2">
      <c r="B39" t="s">
        <v>141</v>
      </c>
      <c r="C39" s="12">
        <v>16</v>
      </c>
      <c r="D39" s="8">
        <v>1.6</v>
      </c>
      <c r="E39" s="12">
        <v>2</v>
      </c>
      <c r="F39" s="8">
        <v>0.54</v>
      </c>
      <c r="G39" s="12">
        <v>14</v>
      </c>
      <c r="H39" s="8">
        <v>2.2400000000000002</v>
      </c>
      <c r="I39" s="12">
        <v>0</v>
      </c>
    </row>
    <row r="40" spans="2:9" ht="15" customHeight="1" x14ac:dyDescent="0.2">
      <c r="B40" t="s">
        <v>106</v>
      </c>
      <c r="C40" s="12">
        <v>16</v>
      </c>
      <c r="D40" s="8">
        <v>1.6</v>
      </c>
      <c r="E40" s="12">
        <v>13</v>
      </c>
      <c r="F40" s="8">
        <v>3.51</v>
      </c>
      <c r="G40" s="12">
        <v>3</v>
      </c>
      <c r="H40" s="8">
        <v>0.48</v>
      </c>
      <c r="I40" s="12">
        <v>0</v>
      </c>
    </row>
    <row r="41" spans="2:9" ht="15" customHeight="1" x14ac:dyDescent="0.2">
      <c r="B41" t="s">
        <v>111</v>
      </c>
      <c r="C41" s="12">
        <v>16</v>
      </c>
      <c r="D41" s="8">
        <v>1.6</v>
      </c>
      <c r="E41" s="12">
        <v>4</v>
      </c>
      <c r="F41" s="8">
        <v>1.08</v>
      </c>
      <c r="G41" s="12">
        <v>12</v>
      </c>
      <c r="H41" s="8">
        <v>1.92</v>
      </c>
      <c r="I41" s="12">
        <v>0</v>
      </c>
    </row>
    <row r="42" spans="2:9" ht="15" customHeight="1" x14ac:dyDescent="0.2">
      <c r="B42" t="s">
        <v>117</v>
      </c>
      <c r="C42" s="12">
        <v>14</v>
      </c>
      <c r="D42" s="8">
        <v>1.4</v>
      </c>
      <c r="E42" s="12">
        <v>0</v>
      </c>
      <c r="F42" s="8">
        <v>0</v>
      </c>
      <c r="G42" s="12">
        <v>10</v>
      </c>
      <c r="H42" s="8">
        <v>1.6</v>
      </c>
      <c r="I42" s="12">
        <v>0</v>
      </c>
    </row>
    <row r="43" spans="2:9" ht="15" customHeight="1" x14ac:dyDescent="0.2">
      <c r="B43" t="s">
        <v>128</v>
      </c>
      <c r="C43" s="12">
        <v>13</v>
      </c>
      <c r="D43" s="8">
        <v>1.3</v>
      </c>
      <c r="E43" s="12">
        <v>2</v>
      </c>
      <c r="F43" s="8">
        <v>0.54</v>
      </c>
      <c r="G43" s="12">
        <v>11</v>
      </c>
      <c r="H43" s="8">
        <v>1.76</v>
      </c>
      <c r="I43" s="12">
        <v>0</v>
      </c>
    </row>
    <row r="46" spans="2:9" ht="33" customHeight="1" x14ac:dyDescent="0.2">
      <c r="B46" t="s">
        <v>273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159</v>
      </c>
      <c r="C47" s="12">
        <v>74</v>
      </c>
      <c r="D47" s="8">
        <v>7.4</v>
      </c>
      <c r="E47" s="12">
        <v>32</v>
      </c>
      <c r="F47" s="8">
        <v>8.65</v>
      </c>
      <c r="G47" s="12">
        <v>42</v>
      </c>
      <c r="H47" s="8">
        <v>6.72</v>
      </c>
      <c r="I47" s="12">
        <v>0</v>
      </c>
    </row>
    <row r="48" spans="2:9" ht="15" customHeight="1" x14ac:dyDescent="0.2">
      <c r="B48" t="s">
        <v>160</v>
      </c>
      <c r="C48" s="12">
        <v>40</v>
      </c>
      <c r="D48" s="8">
        <v>4</v>
      </c>
      <c r="E48" s="12">
        <v>21</v>
      </c>
      <c r="F48" s="8">
        <v>5.68</v>
      </c>
      <c r="G48" s="12">
        <v>19</v>
      </c>
      <c r="H48" s="8">
        <v>3.04</v>
      </c>
      <c r="I48" s="12">
        <v>0</v>
      </c>
    </row>
    <row r="49" spans="2:9" ht="15" customHeight="1" x14ac:dyDescent="0.2">
      <c r="B49" t="s">
        <v>161</v>
      </c>
      <c r="C49" s="12">
        <v>39</v>
      </c>
      <c r="D49" s="8">
        <v>3.9</v>
      </c>
      <c r="E49" s="12">
        <v>36</v>
      </c>
      <c r="F49" s="8">
        <v>9.73</v>
      </c>
      <c r="G49" s="12">
        <v>3</v>
      </c>
      <c r="H49" s="8">
        <v>0.48</v>
      </c>
      <c r="I49" s="12">
        <v>0</v>
      </c>
    </row>
    <row r="50" spans="2:9" ht="15" customHeight="1" x14ac:dyDescent="0.2">
      <c r="B50" t="s">
        <v>192</v>
      </c>
      <c r="C50" s="12">
        <v>33</v>
      </c>
      <c r="D50" s="8">
        <v>3.3</v>
      </c>
      <c r="E50" s="12">
        <v>9</v>
      </c>
      <c r="F50" s="8">
        <v>2.4300000000000002</v>
      </c>
      <c r="G50" s="12">
        <v>24</v>
      </c>
      <c r="H50" s="8">
        <v>3.84</v>
      </c>
      <c r="I50" s="12">
        <v>0</v>
      </c>
    </row>
    <row r="51" spans="2:9" ht="15" customHeight="1" x14ac:dyDescent="0.2">
      <c r="B51" t="s">
        <v>215</v>
      </c>
      <c r="C51" s="12">
        <v>30</v>
      </c>
      <c r="D51" s="8">
        <v>3</v>
      </c>
      <c r="E51" s="12">
        <v>17</v>
      </c>
      <c r="F51" s="8">
        <v>4.59</v>
      </c>
      <c r="G51" s="12">
        <v>13</v>
      </c>
      <c r="H51" s="8">
        <v>2.08</v>
      </c>
      <c r="I51" s="12">
        <v>0</v>
      </c>
    </row>
    <row r="52" spans="2:9" ht="15" customHeight="1" x14ac:dyDescent="0.2">
      <c r="B52" t="s">
        <v>152</v>
      </c>
      <c r="C52" s="12">
        <v>26</v>
      </c>
      <c r="D52" s="8">
        <v>2.6</v>
      </c>
      <c r="E52" s="12">
        <v>4</v>
      </c>
      <c r="F52" s="8">
        <v>1.08</v>
      </c>
      <c r="G52" s="12">
        <v>22</v>
      </c>
      <c r="H52" s="8">
        <v>3.52</v>
      </c>
      <c r="I52" s="12">
        <v>0</v>
      </c>
    </row>
    <row r="53" spans="2:9" ht="15" customHeight="1" x14ac:dyDescent="0.2">
      <c r="B53" t="s">
        <v>190</v>
      </c>
      <c r="C53" s="12">
        <v>25</v>
      </c>
      <c r="D53" s="8">
        <v>2.5</v>
      </c>
      <c r="E53" s="12">
        <v>3</v>
      </c>
      <c r="F53" s="8">
        <v>0.81</v>
      </c>
      <c r="G53" s="12">
        <v>22</v>
      </c>
      <c r="H53" s="8">
        <v>3.52</v>
      </c>
      <c r="I53" s="12">
        <v>0</v>
      </c>
    </row>
    <row r="54" spans="2:9" ht="15" customHeight="1" x14ac:dyDescent="0.2">
      <c r="B54" t="s">
        <v>227</v>
      </c>
      <c r="C54" s="12">
        <v>23</v>
      </c>
      <c r="D54" s="8">
        <v>2.2999999999999998</v>
      </c>
      <c r="E54" s="12">
        <v>6</v>
      </c>
      <c r="F54" s="8">
        <v>1.62</v>
      </c>
      <c r="G54" s="12">
        <v>17</v>
      </c>
      <c r="H54" s="8">
        <v>2.72</v>
      </c>
      <c r="I54" s="12">
        <v>0</v>
      </c>
    </row>
    <row r="55" spans="2:9" ht="15" customHeight="1" x14ac:dyDescent="0.2">
      <c r="B55" t="s">
        <v>153</v>
      </c>
      <c r="C55" s="12">
        <v>21</v>
      </c>
      <c r="D55" s="8">
        <v>2.1</v>
      </c>
      <c r="E55" s="12">
        <v>5</v>
      </c>
      <c r="F55" s="8">
        <v>1.35</v>
      </c>
      <c r="G55" s="12">
        <v>16</v>
      </c>
      <c r="H55" s="8">
        <v>2.56</v>
      </c>
      <c r="I55" s="12">
        <v>0</v>
      </c>
    </row>
    <row r="56" spans="2:9" ht="15" customHeight="1" x14ac:dyDescent="0.2">
      <c r="B56" t="s">
        <v>198</v>
      </c>
      <c r="C56" s="12">
        <v>19</v>
      </c>
      <c r="D56" s="8">
        <v>1.9</v>
      </c>
      <c r="E56" s="12">
        <v>14</v>
      </c>
      <c r="F56" s="8">
        <v>3.78</v>
      </c>
      <c r="G56" s="12">
        <v>5</v>
      </c>
      <c r="H56" s="8">
        <v>0.8</v>
      </c>
      <c r="I56" s="12">
        <v>0</v>
      </c>
    </row>
    <row r="57" spans="2:9" ht="15" customHeight="1" x14ac:dyDescent="0.2">
      <c r="B57" t="s">
        <v>174</v>
      </c>
      <c r="C57" s="12">
        <v>18</v>
      </c>
      <c r="D57" s="8">
        <v>1.8</v>
      </c>
      <c r="E57" s="12">
        <v>7</v>
      </c>
      <c r="F57" s="8">
        <v>1.89</v>
      </c>
      <c r="G57" s="12">
        <v>11</v>
      </c>
      <c r="H57" s="8">
        <v>1.76</v>
      </c>
      <c r="I57" s="12">
        <v>0</v>
      </c>
    </row>
    <row r="58" spans="2:9" ht="15" customHeight="1" x14ac:dyDescent="0.2">
      <c r="B58" t="s">
        <v>167</v>
      </c>
      <c r="C58" s="12">
        <v>18</v>
      </c>
      <c r="D58" s="8">
        <v>1.8</v>
      </c>
      <c r="E58" s="12">
        <v>16</v>
      </c>
      <c r="F58" s="8">
        <v>4.32</v>
      </c>
      <c r="G58" s="12">
        <v>2</v>
      </c>
      <c r="H58" s="8">
        <v>0.32</v>
      </c>
      <c r="I58" s="12">
        <v>0</v>
      </c>
    </row>
    <row r="59" spans="2:9" ht="15" customHeight="1" x14ac:dyDescent="0.2">
      <c r="B59" t="s">
        <v>217</v>
      </c>
      <c r="C59" s="12">
        <v>15</v>
      </c>
      <c r="D59" s="8">
        <v>1.5</v>
      </c>
      <c r="E59" s="12">
        <v>3</v>
      </c>
      <c r="F59" s="8">
        <v>0.81</v>
      </c>
      <c r="G59" s="12">
        <v>12</v>
      </c>
      <c r="H59" s="8">
        <v>1.92</v>
      </c>
      <c r="I59" s="12">
        <v>0</v>
      </c>
    </row>
    <row r="60" spans="2:9" ht="15" customHeight="1" x14ac:dyDescent="0.2">
      <c r="B60" t="s">
        <v>202</v>
      </c>
      <c r="C60" s="12">
        <v>14</v>
      </c>
      <c r="D60" s="8">
        <v>1.4</v>
      </c>
      <c r="E60" s="12">
        <v>2</v>
      </c>
      <c r="F60" s="8">
        <v>0.54</v>
      </c>
      <c r="G60" s="12">
        <v>12</v>
      </c>
      <c r="H60" s="8">
        <v>1.92</v>
      </c>
      <c r="I60" s="12">
        <v>0</v>
      </c>
    </row>
    <row r="61" spans="2:9" ht="15" customHeight="1" x14ac:dyDescent="0.2">
      <c r="B61" t="s">
        <v>169</v>
      </c>
      <c r="C61" s="12">
        <v>13</v>
      </c>
      <c r="D61" s="8">
        <v>1.3</v>
      </c>
      <c r="E61" s="12">
        <v>13</v>
      </c>
      <c r="F61" s="8">
        <v>3.51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191</v>
      </c>
      <c r="C62" s="12">
        <v>12</v>
      </c>
      <c r="D62" s="8">
        <v>1.2</v>
      </c>
      <c r="E62" s="12">
        <v>3</v>
      </c>
      <c r="F62" s="8">
        <v>0.81</v>
      </c>
      <c r="G62" s="12">
        <v>9</v>
      </c>
      <c r="H62" s="8">
        <v>1.44</v>
      </c>
      <c r="I62" s="12">
        <v>0</v>
      </c>
    </row>
    <row r="63" spans="2:9" ht="15" customHeight="1" x14ac:dyDescent="0.2">
      <c r="B63" t="s">
        <v>168</v>
      </c>
      <c r="C63" s="12">
        <v>12</v>
      </c>
      <c r="D63" s="8">
        <v>1.2</v>
      </c>
      <c r="E63" s="12">
        <v>12</v>
      </c>
      <c r="F63" s="8">
        <v>3.24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224</v>
      </c>
      <c r="C64" s="12">
        <v>11</v>
      </c>
      <c r="D64" s="8">
        <v>1.1000000000000001</v>
      </c>
      <c r="E64" s="12">
        <v>3</v>
      </c>
      <c r="F64" s="8">
        <v>0.81</v>
      </c>
      <c r="G64" s="12">
        <v>8</v>
      </c>
      <c r="H64" s="8">
        <v>1.28</v>
      </c>
      <c r="I64" s="12">
        <v>0</v>
      </c>
    </row>
    <row r="65" spans="2:9" ht="15" customHeight="1" x14ac:dyDescent="0.2">
      <c r="B65" t="s">
        <v>210</v>
      </c>
      <c r="C65" s="12">
        <v>10</v>
      </c>
      <c r="D65" s="8">
        <v>1</v>
      </c>
      <c r="E65" s="12">
        <v>1</v>
      </c>
      <c r="F65" s="8">
        <v>0.27</v>
      </c>
      <c r="G65" s="12">
        <v>9</v>
      </c>
      <c r="H65" s="8">
        <v>1.44</v>
      </c>
      <c r="I65" s="12">
        <v>0</v>
      </c>
    </row>
    <row r="66" spans="2:9" ht="15" customHeight="1" x14ac:dyDescent="0.2">
      <c r="B66" t="s">
        <v>225</v>
      </c>
      <c r="C66" s="12">
        <v>10</v>
      </c>
      <c r="D66" s="8">
        <v>1</v>
      </c>
      <c r="E66" s="12">
        <v>0</v>
      </c>
      <c r="F66" s="8">
        <v>0</v>
      </c>
      <c r="G66" s="12">
        <v>10</v>
      </c>
      <c r="H66" s="8">
        <v>1.6</v>
      </c>
      <c r="I66" s="12">
        <v>0</v>
      </c>
    </row>
    <row r="67" spans="2:9" ht="15" customHeight="1" x14ac:dyDescent="0.2">
      <c r="B67" t="s">
        <v>226</v>
      </c>
      <c r="C67" s="12">
        <v>10</v>
      </c>
      <c r="D67" s="8">
        <v>1</v>
      </c>
      <c r="E67" s="12">
        <v>2</v>
      </c>
      <c r="F67" s="8">
        <v>0.54</v>
      </c>
      <c r="G67" s="12">
        <v>8</v>
      </c>
      <c r="H67" s="8">
        <v>1.28</v>
      </c>
      <c r="I67" s="12">
        <v>0</v>
      </c>
    </row>
    <row r="68" spans="2:9" ht="15" customHeight="1" x14ac:dyDescent="0.2">
      <c r="B68" t="s">
        <v>228</v>
      </c>
      <c r="C68" s="12">
        <v>10</v>
      </c>
      <c r="D68" s="8">
        <v>1</v>
      </c>
      <c r="E68" s="12">
        <v>7</v>
      </c>
      <c r="F68" s="8">
        <v>1.89</v>
      </c>
      <c r="G68" s="12">
        <v>3</v>
      </c>
      <c r="H68" s="8">
        <v>0.48</v>
      </c>
      <c r="I68" s="12">
        <v>0</v>
      </c>
    </row>
    <row r="70" spans="2:9" ht="15" customHeight="1" x14ac:dyDescent="0.2">
      <c r="B70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40ED8-EC10-4C39-BD33-A4F407DFFE62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308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572</v>
      </c>
      <c r="D6" s="8">
        <v>13.42</v>
      </c>
      <c r="E6" s="12">
        <v>125</v>
      </c>
      <c r="F6" s="8">
        <v>5.47</v>
      </c>
      <c r="G6" s="12">
        <v>447</v>
      </c>
      <c r="H6" s="8">
        <v>23.22</v>
      </c>
      <c r="I6" s="12">
        <v>0</v>
      </c>
    </row>
    <row r="7" spans="2:9" ht="15" customHeight="1" x14ac:dyDescent="0.2">
      <c r="B7" t="s">
        <v>77</v>
      </c>
      <c r="C7" s="12">
        <v>487</v>
      </c>
      <c r="D7" s="8">
        <v>11.43</v>
      </c>
      <c r="E7" s="12">
        <v>206</v>
      </c>
      <c r="F7" s="8">
        <v>9.02</v>
      </c>
      <c r="G7" s="12">
        <v>281</v>
      </c>
      <c r="H7" s="8">
        <v>14.6</v>
      </c>
      <c r="I7" s="12">
        <v>0</v>
      </c>
    </row>
    <row r="8" spans="2:9" ht="15" customHeight="1" x14ac:dyDescent="0.2">
      <c r="B8" t="s">
        <v>78</v>
      </c>
      <c r="C8" s="12">
        <v>2</v>
      </c>
      <c r="D8" s="8">
        <v>0.05</v>
      </c>
      <c r="E8" s="12">
        <v>0</v>
      </c>
      <c r="F8" s="8">
        <v>0</v>
      </c>
      <c r="G8" s="12">
        <v>2</v>
      </c>
      <c r="H8" s="8">
        <v>0.1</v>
      </c>
      <c r="I8" s="12">
        <v>0</v>
      </c>
    </row>
    <row r="9" spans="2:9" ht="15" customHeight="1" x14ac:dyDescent="0.2">
      <c r="B9" t="s">
        <v>79</v>
      </c>
      <c r="C9" s="12">
        <v>26</v>
      </c>
      <c r="D9" s="8">
        <v>0.61</v>
      </c>
      <c r="E9" s="12">
        <v>3</v>
      </c>
      <c r="F9" s="8">
        <v>0.13</v>
      </c>
      <c r="G9" s="12">
        <v>23</v>
      </c>
      <c r="H9" s="8">
        <v>1.19</v>
      </c>
      <c r="I9" s="12">
        <v>0</v>
      </c>
    </row>
    <row r="10" spans="2:9" ht="15" customHeight="1" x14ac:dyDescent="0.2">
      <c r="B10" t="s">
        <v>80</v>
      </c>
      <c r="C10" s="12">
        <v>52</v>
      </c>
      <c r="D10" s="8">
        <v>1.22</v>
      </c>
      <c r="E10" s="12">
        <v>5</v>
      </c>
      <c r="F10" s="8">
        <v>0.22</v>
      </c>
      <c r="G10" s="12">
        <v>47</v>
      </c>
      <c r="H10" s="8">
        <v>2.44</v>
      </c>
      <c r="I10" s="12">
        <v>0</v>
      </c>
    </row>
    <row r="11" spans="2:9" ht="15" customHeight="1" x14ac:dyDescent="0.2">
      <c r="B11" t="s">
        <v>81</v>
      </c>
      <c r="C11" s="12">
        <v>880</v>
      </c>
      <c r="D11" s="8">
        <v>20.65</v>
      </c>
      <c r="E11" s="12">
        <v>502</v>
      </c>
      <c r="F11" s="8">
        <v>21.98</v>
      </c>
      <c r="G11" s="12">
        <v>378</v>
      </c>
      <c r="H11" s="8">
        <v>19.64</v>
      </c>
      <c r="I11" s="12">
        <v>0</v>
      </c>
    </row>
    <row r="12" spans="2:9" ht="15" customHeight="1" x14ac:dyDescent="0.2">
      <c r="B12" t="s">
        <v>82</v>
      </c>
      <c r="C12" s="12">
        <v>28</v>
      </c>
      <c r="D12" s="8">
        <v>0.66</v>
      </c>
      <c r="E12" s="12">
        <v>8</v>
      </c>
      <c r="F12" s="8">
        <v>0.35</v>
      </c>
      <c r="G12" s="12">
        <v>20</v>
      </c>
      <c r="H12" s="8">
        <v>1.04</v>
      </c>
      <c r="I12" s="12">
        <v>0</v>
      </c>
    </row>
    <row r="13" spans="2:9" ht="15" customHeight="1" x14ac:dyDescent="0.2">
      <c r="B13" t="s">
        <v>83</v>
      </c>
      <c r="C13" s="12">
        <v>479</v>
      </c>
      <c r="D13" s="8">
        <v>11.24</v>
      </c>
      <c r="E13" s="12">
        <v>129</v>
      </c>
      <c r="F13" s="8">
        <v>5.65</v>
      </c>
      <c r="G13" s="12">
        <v>350</v>
      </c>
      <c r="H13" s="8">
        <v>18.18</v>
      </c>
      <c r="I13" s="12">
        <v>0</v>
      </c>
    </row>
    <row r="14" spans="2:9" ht="15" customHeight="1" x14ac:dyDescent="0.2">
      <c r="B14" t="s">
        <v>84</v>
      </c>
      <c r="C14" s="12">
        <v>171</v>
      </c>
      <c r="D14" s="8">
        <v>4.01</v>
      </c>
      <c r="E14" s="12">
        <v>111</v>
      </c>
      <c r="F14" s="8">
        <v>4.8600000000000003</v>
      </c>
      <c r="G14" s="12">
        <v>60</v>
      </c>
      <c r="H14" s="8">
        <v>3.12</v>
      </c>
      <c r="I14" s="12">
        <v>0</v>
      </c>
    </row>
    <row r="15" spans="2:9" ht="15" customHeight="1" x14ac:dyDescent="0.2">
      <c r="B15" t="s">
        <v>85</v>
      </c>
      <c r="C15" s="12">
        <v>507</v>
      </c>
      <c r="D15" s="8">
        <v>11.9</v>
      </c>
      <c r="E15" s="12">
        <v>446</v>
      </c>
      <c r="F15" s="8">
        <v>19.53</v>
      </c>
      <c r="G15" s="12">
        <v>61</v>
      </c>
      <c r="H15" s="8">
        <v>3.17</v>
      </c>
      <c r="I15" s="12">
        <v>0</v>
      </c>
    </row>
    <row r="16" spans="2:9" ht="15" customHeight="1" x14ac:dyDescent="0.2">
      <c r="B16" t="s">
        <v>86</v>
      </c>
      <c r="C16" s="12">
        <v>453</v>
      </c>
      <c r="D16" s="8">
        <v>10.63</v>
      </c>
      <c r="E16" s="12">
        <v>376</v>
      </c>
      <c r="F16" s="8">
        <v>16.46</v>
      </c>
      <c r="G16" s="12">
        <v>75</v>
      </c>
      <c r="H16" s="8">
        <v>3.9</v>
      </c>
      <c r="I16" s="12">
        <v>1</v>
      </c>
    </row>
    <row r="17" spans="2:9" ht="15" customHeight="1" x14ac:dyDescent="0.2">
      <c r="B17" t="s">
        <v>87</v>
      </c>
      <c r="C17" s="12">
        <v>190</v>
      </c>
      <c r="D17" s="8">
        <v>4.46</v>
      </c>
      <c r="E17" s="12">
        <v>145</v>
      </c>
      <c r="F17" s="8">
        <v>6.35</v>
      </c>
      <c r="G17" s="12">
        <v>35</v>
      </c>
      <c r="H17" s="8">
        <v>1.82</v>
      </c>
      <c r="I17" s="12">
        <v>1</v>
      </c>
    </row>
    <row r="18" spans="2:9" ht="15" customHeight="1" x14ac:dyDescent="0.2">
      <c r="B18" t="s">
        <v>88</v>
      </c>
      <c r="C18" s="12">
        <v>267</v>
      </c>
      <c r="D18" s="8">
        <v>6.27</v>
      </c>
      <c r="E18" s="12">
        <v>148</v>
      </c>
      <c r="F18" s="8">
        <v>6.48</v>
      </c>
      <c r="G18" s="12">
        <v>79</v>
      </c>
      <c r="H18" s="8">
        <v>4.0999999999999996</v>
      </c>
      <c r="I18" s="12">
        <v>0</v>
      </c>
    </row>
    <row r="19" spans="2:9" ht="15" customHeight="1" x14ac:dyDescent="0.2">
      <c r="B19" t="s">
        <v>89</v>
      </c>
      <c r="C19" s="12">
        <v>147</v>
      </c>
      <c r="D19" s="8">
        <v>3.45</v>
      </c>
      <c r="E19" s="12">
        <v>80</v>
      </c>
      <c r="F19" s="8">
        <v>3.5</v>
      </c>
      <c r="G19" s="12">
        <v>67</v>
      </c>
      <c r="H19" s="8">
        <v>3.48</v>
      </c>
      <c r="I19" s="12">
        <v>0</v>
      </c>
    </row>
    <row r="20" spans="2:9" ht="15" customHeight="1" x14ac:dyDescent="0.2">
      <c r="B20" s="9" t="s">
        <v>271</v>
      </c>
      <c r="C20" s="12">
        <f>SUM(LTBL_27202[総数／事業所数])</f>
        <v>4261</v>
      </c>
      <c r="E20" s="12">
        <f>SUBTOTAL(109,LTBL_27202[個人／事業所数])</f>
        <v>2284</v>
      </c>
      <c r="G20" s="12">
        <f>SUBTOTAL(109,LTBL_27202[法人／事業所数])</f>
        <v>1925</v>
      </c>
      <c r="I20" s="12">
        <f>SUBTOTAL(109,LTBL_27202[法人以外の団体／事業所数])</f>
        <v>2</v>
      </c>
    </row>
    <row r="21" spans="2:9" ht="15" customHeight="1" x14ac:dyDescent="0.2">
      <c r="E21" s="11">
        <f>LTBL_27202[[#Totals],[個人／事業所数]]/LTBL_27202[[#Totals],[総数／事業所数]]</f>
        <v>0.53602440741609947</v>
      </c>
      <c r="G21" s="11">
        <f>LTBL_27202[[#Totals],[法人／事業所数]]/LTBL_27202[[#Totals],[総数／事業所数]]</f>
        <v>0.45177188453414691</v>
      </c>
      <c r="I21" s="11">
        <f>LTBL_27202[[#Totals],[法人以外の団体／事業所数]]/LTBL_27202[[#Totals],[総数／事業所数]]</f>
        <v>4.6937338652898382E-4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113</v>
      </c>
      <c r="C24" s="12">
        <v>469</v>
      </c>
      <c r="D24" s="8">
        <v>11.01</v>
      </c>
      <c r="E24" s="12">
        <v>428</v>
      </c>
      <c r="F24" s="8">
        <v>18.739999999999998</v>
      </c>
      <c r="G24" s="12">
        <v>41</v>
      </c>
      <c r="H24" s="8">
        <v>2.13</v>
      </c>
      <c r="I24" s="12">
        <v>0</v>
      </c>
    </row>
    <row r="25" spans="2:9" ht="15" customHeight="1" x14ac:dyDescent="0.2">
      <c r="B25" t="s">
        <v>110</v>
      </c>
      <c r="C25" s="12">
        <v>379</v>
      </c>
      <c r="D25" s="8">
        <v>8.89</v>
      </c>
      <c r="E25" s="12">
        <v>112</v>
      </c>
      <c r="F25" s="8">
        <v>4.9000000000000004</v>
      </c>
      <c r="G25" s="12">
        <v>267</v>
      </c>
      <c r="H25" s="8">
        <v>13.87</v>
      </c>
      <c r="I25" s="12">
        <v>0</v>
      </c>
    </row>
    <row r="26" spans="2:9" ht="15" customHeight="1" x14ac:dyDescent="0.2">
      <c r="B26" t="s">
        <v>114</v>
      </c>
      <c r="C26" s="12">
        <v>355</v>
      </c>
      <c r="D26" s="8">
        <v>8.33</v>
      </c>
      <c r="E26" s="12">
        <v>318</v>
      </c>
      <c r="F26" s="8">
        <v>13.92</v>
      </c>
      <c r="G26" s="12">
        <v>37</v>
      </c>
      <c r="H26" s="8">
        <v>1.92</v>
      </c>
      <c r="I26" s="12">
        <v>0</v>
      </c>
    </row>
    <row r="27" spans="2:9" ht="15" customHeight="1" x14ac:dyDescent="0.2">
      <c r="B27" t="s">
        <v>98</v>
      </c>
      <c r="C27" s="12">
        <v>259</v>
      </c>
      <c r="D27" s="8">
        <v>6.08</v>
      </c>
      <c r="E27" s="12">
        <v>38</v>
      </c>
      <c r="F27" s="8">
        <v>1.66</v>
      </c>
      <c r="G27" s="12">
        <v>221</v>
      </c>
      <c r="H27" s="8">
        <v>11.48</v>
      </c>
      <c r="I27" s="12">
        <v>0</v>
      </c>
    </row>
    <row r="28" spans="2:9" ht="15" customHeight="1" x14ac:dyDescent="0.2">
      <c r="B28" t="s">
        <v>108</v>
      </c>
      <c r="C28" s="12">
        <v>256</v>
      </c>
      <c r="D28" s="8">
        <v>6.01</v>
      </c>
      <c r="E28" s="12">
        <v>167</v>
      </c>
      <c r="F28" s="8">
        <v>7.31</v>
      </c>
      <c r="G28" s="12">
        <v>89</v>
      </c>
      <c r="H28" s="8">
        <v>4.62</v>
      </c>
      <c r="I28" s="12">
        <v>0</v>
      </c>
    </row>
    <row r="29" spans="2:9" ht="15" customHeight="1" x14ac:dyDescent="0.2">
      <c r="B29" t="s">
        <v>115</v>
      </c>
      <c r="C29" s="12">
        <v>190</v>
      </c>
      <c r="D29" s="8">
        <v>4.46</v>
      </c>
      <c r="E29" s="12">
        <v>145</v>
      </c>
      <c r="F29" s="8">
        <v>6.35</v>
      </c>
      <c r="G29" s="12">
        <v>35</v>
      </c>
      <c r="H29" s="8">
        <v>1.82</v>
      </c>
      <c r="I29" s="12">
        <v>1</v>
      </c>
    </row>
    <row r="30" spans="2:9" ht="15" customHeight="1" x14ac:dyDescent="0.2">
      <c r="B30" t="s">
        <v>106</v>
      </c>
      <c r="C30" s="12">
        <v>175</v>
      </c>
      <c r="D30" s="8">
        <v>4.1100000000000003</v>
      </c>
      <c r="E30" s="12">
        <v>146</v>
      </c>
      <c r="F30" s="8">
        <v>6.39</v>
      </c>
      <c r="G30" s="12">
        <v>29</v>
      </c>
      <c r="H30" s="8">
        <v>1.51</v>
      </c>
      <c r="I30" s="12">
        <v>0</v>
      </c>
    </row>
    <row r="31" spans="2:9" ht="15" customHeight="1" x14ac:dyDescent="0.2">
      <c r="B31" t="s">
        <v>116</v>
      </c>
      <c r="C31" s="12">
        <v>169</v>
      </c>
      <c r="D31" s="8">
        <v>3.97</v>
      </c>
      <c r="E31" s="12">
        <v>146</v>
      </c>
      <c r="F31" s="8">
        <v>6.39</v>
      </c>
      <c r="G31" s="12">
        <v>23</v>
      </c>
      <c r="H31" s="8">
        <v>1.19</v>
      </c>
      <c r="I31" s="12">
        <v>0</v>
      </c>
    </row>
    <row r="32" spans="2:9" ht="15" customHeight="1" x14ac:dyDescent="0.2">
      <c r="B32" t="s">
        <v>100</v>
      </c>
      <c r="C32" s="12">
        <v>164</v>
      </c>
      <c r="D32" s="8">
        <v>3.85</v>
      </c>
      <c r="E32" s="12">
        <v>47</v>
      </c>
      <c r="F32" s="8">
        <v>2.06</v>
      </c>
      <c r="G32" s="12">
        <v>117</v>
      </c>
      <c r="H32" s="8">
        <v>6.08</v>
      </c>
      <c r="I32" s="12">
        <v>0</v>
      </c>
    </row>
    <row r="33" spans="2:9" ht="15" customHeight="1" x14ac:dyDescent="0.2">
      <c r="B33" t="s">
        <v>99</v>
      </c>
      <c r="C33" s="12">
        <v>149</v>
      </c>
      <c r="D33" s="8">
        <v>3.5</v>
      </c>
      <c r="E33" s="12">
        <v>40</v>
      </c>
      <c r="F33" s="8">
        <v>1.75</v>
      </c>
      <c r="G33" s="12">
        <v>109</v>
      </c>
      <c r="H33" s="8">
        <v>5.66</v>
      </c>
      <c r="I33" s="12">
        <v>0</v>
      </c>
    </row>
    <row r="34" spans="2:9" ht="15" customHeight="1" x14ac:dyDescent="0.2">
      <c r="B34" t="s">
        <v>111</v>
      </c>
      <c r="C34" s="12">
        <v>118</v>
      </c>
      <c r="D34" s="8">
        <v>2.77</v>
      </c>
      <c r="E34" s="12">
        <v>85</v>
      </c>
      <c r="F34" s="8">
        <v>3.72</v>
      </c>
      <c r="G34" s="12">
        <v>33</v>
      </c>
      <c r="H34" s="8">
        <v>1.71</v>
      </c>
      <c r="I34" s="12">
        <v>0</v>
      </c>
    </row>
    <row r="35" spans="2:9" ht="15" customHeight="1" x14ac:dyDescent="0.2">
      <c r="B35" t="s">
        <v>107</v>
      </c>
      <c r="C35" s="12">
        <v>112</v>
      </c>
      <c r="D35" s="8">
        <v>2.63</v>
      </c>
      <c r="E35" s="12">
        <v>74</v>
      </c>
      <c r="F35" s="8">
        <v>3.24</v>
      </c>
      <c r="G35" s="12">
        <v>38</v>
      </c>
      <c r="H35" s="8">
        <v>1.97</v>
      </c>
      <c r="I35" s="12">
        <v>0</v>
      </c>
    </row>
    <row r="36" spans="2:9" ht="15" customHeight="1" x14ac:dyDescent="0.2">
      <c r="B36" t="s">
        <v>120</v>
      </c>
      <c r="C36" s="12">
        <v>109</v>
      </c>
      <c r="D36" s="8">
        <v>2.56</v>
      </c>
      <c r="E36" s="12">
        <v>57</v>
      </c>
      <c r="F36" s="8">
        <v>2.5</v>
      </c>
      <c r="G36" s="12">
        <v>52</v>
      </c>
      <c r="H36" s="8">
        <v>2.7</v>
      </c>
      <c r="I36" s="12">
        <v>0</v>
      </c>
    </row>
    <row r="37" spans="2:9" ht="15" customHeight="1" x14ac:dyDescent="0.2">
      <c r="B37" t="s">
        <v>117</v>
      </c>
      <c r="C37" s="12">
        <v>98</v>
      </c>
      <c r="D37" s="8">
        <v>2.2999999999999998</v>
      </c>
      <c r="E37" s="12">
        <v>2</v>
      </c>
      <c r="F37" s="8">
        <v>0.09</v>
      </c>
      <c r="G37" s="12">
        <v>56</v>
      </c>
      <c r="H37" s="8">
        <v>2.91</v>
      </c>
      <c r="I37" s="12">
        <v>0</v>
      </c>
    </row>
    <row r="38" spans="2:9" ht="15" customHeight="1" x14ac:dyDescent="0.2">
      <c r="B38" t="s">
        <v>101</v>
      </c>
      <c r="C38" s="12">
        <v>95</v>
      </c>
      <c r="D38" s="8">
        <v>2.23</v>
      </c>
      <c r="E38" s="12">
        <v>38</v>
      </c>
      <c r="F38" s="8">
        <v>1.66</v>
      </c>
      <c r="G38" s="12">
        <v>57</v>
      </c>
      <c r="H38" s="8">
        <v>2.96</v>
      </c>
      <c r="I38" s="12">
        <v>0</v>
      </c>
    </row>
    <row r="39" spans="2:9" ht="15" customHeight="1" x14ac:dyDescent="0.2">
      <c r="B39" t="s">
        <v>109</v>
      </c>
      <c r="C39" s="12">
        <v>85</v>
      </c>
      <c r="D39" s="8">
        <v>1.99</v>
      </c>
      <c r="E39" s="12">
        <v>15</v>
      </c>
      <c r="F39" s="8">
        <v>0.66</v>
      </c>
      <c r="G39" s="12">
        <v>70</v>
      </c>
      <c r="H39" s="8">
        <v>3.64</v>
      </c>
      <c r="I39" s="12">
        <v>0</v>
      </c>
    </row>
    <row r="40" spans="2:9" ht="15" customHeight="1" x14ac:dyDescent="0.2">
      <c r="B40" t="s">
        <v>105</v>
      </c>
      <c r="C40" s="12">
        <v>81</v>
      </c>
      <c r="D40" s="8">
        <v>1.9</v>
      </c>
      <c r="E40" s="12">
        <v>53</v>
      </c>
      <c r="F40" s="8">
        <v>2.3199999999999998</v>
      </c>
      <c r="G40" s="12">
        <v>28</v>
      </c>
      <c r="H40" s="8">
        <v>1.45</v>
      </c>
      <c r="I40" s="12">
        <v>0</v>
      </c>
    </row>
    <row r="41" spans="2:9" ht="15" customHeight="1" x14ac:dyDescent="0.2">
      <c r="B41" t="s">
        <v>130</v>
      </c>
      <c r="C41" s="12">
        <v>66</v>
      </c>
      <c r="D41" s="8">
        <v>1.55</v>
      </c>
      <c r="E41" s="12">
        <v>35</v>
      </c>
      <c r="F41" s="8">
        <v>1.53</v>
      </c>
      <c r="G41" s="12">
        <v>29</v>
      </c>
      <c r="H41" s="8">
        <v>1.51</v>
      </c>
      <c r="I41" s="12">
        <v>1</v>
      </c>
    </row>
    <row r="42" spans="2:9" ht="15" customHeight="1" x14ac:dyDescent="0.2">
      <c r="B42" t="s">
        <v>102</v>
      </c>
      <c r="C42" s="12">
        <v>62</v>
      </c>
      <c r="D42" s="8">
        <v>1.46</v>
      </c>
      <c r="E42" s="12">
        <v>15</v>
      </c>
      <c r="F42" s="8">
        <v>0.66</v>
      </c>
      <c r="G42" s="12">
        <v>47</v>
      </c>
      <c r="H42" s="8">
        <v>2.44</v>
      </c>
      <c r="I42" s="12">
        <v>0</v>
      </c>
    </row>
    <row r="43" spans="2:9" ht="15" customHeight="1" x14ac:dyDescent="0.2">
      <c r="B43" t="s">
        <v>129</v>
      </c>
      <c r="C43" s="12">
        <v>57</v>
      </c>
      <c r="D43" s="8">
        <v>1.34</v>
      </c>
      <c r="E43" s="12">
        <v>45</v>
      </c>
      <c r="F43" s="8">
        <v>1.97</v>
      </c>
      <c r="G43" s="12">
        <v>12</v>
      </c>
      <c r="H43" s="8">
        <v>0.62</v>
      </c>
      <c r="I43" s="12">
        <v>0</v>
      </c>
    </row>
    <row r="46" spans="2:9" ht="33" customHeight="1" x14ac:dyDescent="0.2">
      <c r="B46" t="s">
        <v>273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169</v>
      </c>
      <c r="C47" s="12">
        <v>177</v>
      </c>
      <c r="D47" s="8">
        <v>4.1500000000000004</v>
      </c>
      <c r="E47" s="12">
        <v>166</v>
      </c>
      <c r="F47" s="8">
        <v>7.27</v>
      </c>
      <c r="G47" s="12">
        <v>11</v>
      </c>
      <c r="H47" s="8">
        <v>0.56999999999999995</v>
      </c>
      <c r="I47" s="12">
        <v>0</v>
      </c>
    </row>
    <row r="48" spans="2:9" ht="15" customHeight="1" x14ac:dyDescent="0.2">
      <c r="B48" t="s">
        <v>160</v>
      </c>
      <c r="C48" s="12">
        <v>167</v>
      </c>
      <c r="D48" s="8">
        <v>3.92</v>
      </c>
      <c r="E48" s="12">
        <v>43</v>
      </c>
      <c r="F48" s="8">
        <v>1.88</v>
      </c>
      <c r="G48" s="12">
        <v>124</v>
      </c>
      <c r="H48" s="8">
        <v>6.44</v>
      </c>
      <c r="I48" s="12">
        <v>0</v>
      </c>
    </row>
    <row r="49" spans="2:9" ht="15" customHeight="1" x14ac:dyDescent="0.2">
      <c r="B49" t="s">
        <v>171</v>
      </c>
      <c r="C49" s="12">
        <v>130</v>
      </c>
      <c r="D49" s="8">
        <v>3.05</v>
      </c>
      <c r="E49" s="12">
        <v>115</v>
      </c>
      <c r="F49" s="8">
        <v>5.04</v>
      </c>
      <c r="G49" s="12">
        <v>15</v>
      </c>
      <c r="H49" s="8">
        <v>0.78</v>
      </c>
      <c r="I49" s="12">
        <v>0</v>
      </c>
    </row>
    <row r="50" spans="2:9" ht="15" customHeight="1" x14ac:dyDescent="0.2">
      <c r="B50" t="s">
        <v>165</v>
      </c>
      <c r="C50" s="12">
        <v>123</v>
      </c>
      <c r="D50" s="8">
        <v>2.89</v>
      </c>
      <c r="E50" s="12">
        <v>117</v>
      </c>
      <c r="F50" s="8">
        <v>5.12</v>
      </c>
      <c r="G50" s="12">
        <v>6</v>
      </c>
      <c r="H50" s="8">
        <v>0.31</v>
      </c>
      <c r="I50" s="12">
        <v>0</v>
      </c>
    </row>
    <row r="51" spans="2:9" ht="15" customHeight="1" x14ac:dyDescent="0.2">
      <c r="B51" t="s">
        <v>170</v>
      </c>
      <c r="C51" s="12">
        <v>117</v>
      </c>
      <c r="D51" s="8">
        <v>2.75</v>
      </c>
      <c r="E51" s="12">
        <v>98</v>
      </c>
      <c r="F51" s="8">
        <v>4.29</v>
      </c>
      <c r="G51" s="12">
        <v>18</v>
      </c>
      <c r="H51" s="8">
        <v>0.94</v>
      </c>
      <c r="I51" s="12">
        <v>1</v>
      </c>
    </row>
    <row r="52" spans="2:9" ht="15" customHeight="1" x14ac:dyDescent="0.2">
      <c r="B52" t="s">
        <v>157</v>
      </c>
      <c r="C52" s="12">
        <v>105</v>
      </c>
      <c r="D52" s="8">
        <v>2.46</v>
      </c>
      <c r="E52" s="12">
        <v>79</v>
      </c>
      <c r="F52" s="8">
        <v>3.46</v>
      </c>
      <c r="G52" s="12">
        <v>26</v>
      </c>
      <c r="H52" s="8">
        <v>1.35</v>
      </c>
      <c r="I52" s="12">
        <v>0</v>
      </c>
    </row>
    <row r="53" spans="2:9" ht="15" customHeight="1" x14ac:dyDescent="0.2">
      <c r="B53" t="s">
        <v>167</v>
      </c>
      <c r="C53" s="12">
        <v>103</v>
      </c>
      <c r="D53" s="8">
        <v>2.42</v>
      </c>
      <c r="E53" s="12">
        <v>94</v>
      </c>
      <c r="F53" s="8">
        <v>4.12</v>
      </c>
      <c r="G53" s="12">
        <v>9</v>
      </c>
      <c r="H53" s="8">
        <v>0.47</v>
      </c>
      <c r="I53" s="12">
        <v>0</v>
      </c>
    </row>
    <row r="54" spans="2:9" ht="15" customHeight="1" x14ac:dyDescent="0.2">
      <c r="B54" t="s">
        <v>159</v>
      </c>
      <c r="C54" s="12">
        <v>93</v>
      </c>
      <c r="D54" s="8">
        <v>2.1800000000000002</v>
      </c>
      <c r="E54" s="12">
        <v>6</v>
      </c>
      <c r="F54" s="8">
        <v>0.26</v>
      </c>
      <c r="G54" s="12">
        <v>87</v>
      </c>
      <c r="H54" s="8">
        <v>4.5199999999999996</v>
      </c>
      <c r="I54" s="12">
        <v>0</v>
      </c>
    </row>
    <row r="55" spans="2:9" ht="15" customHeight="1" x14ac:dyDescent="0.2">
      <c r="B55" t="s">
        <v>164</v>
      </c>
      <c r="C55" s="12">
        <v>93</v>
      </c>
      <c r="D55" s="8">
        <v>2.1800000000000002</v>
      </c>
      <c r="E55" s="12">
        <v>82</v>
      </c>
      <c r="F55" s="8">
        <v>3.59</v>
      </c>
      <c r="G55" s="12">
        <v>11</v>
      </c>
      <c r="H55" s="8">
        <v>0.56999999999999995</v>
      </c>
      <c r="I55" s="12">
        <v>0</v>
      </c>
    </row>
    <row r="56" spans="2:9" ht="15" customHeight="1" x14ac:dyDescent="0.2">
      <c r="B56" t="s">
        <v>168</v>
      </c>
      <c r="C56" s="12">
        <v>93</v>
      </c>
      <c r="D56" s="8">
        <v>2.1800000000000002</v>
      </c>
      <c r="E56" s="12">
        <v>90</v>
      </c>
      <c r="F56" s="8">
        <v>3.94</v>
      </c>
      <c r="G56" s="12">
        <v>3</v>
      </c>
      <c r="H56" s="8">
        <v>0.16</v>
      </c>
      <c r="I56" s="12">
        <v>0</v>
      </c>
    </row>
    <row r="57" spans="2:9" ht="15" customHeight="1" x14ac:dyDescent="0.2">
      <c r="B57" t="s">
        <v>190</v>
      </c>
      <c r="C57" s="12">
        <v>88</v>
      </c>
      <c r="D57" s="8">
        <v>2.0699999999999998</v>
      </c>
      <c r="E57" s="12">
        <v>8</v>
      </c>
      <c r="F57" s="8">
        <v>0.35</v>
      </c>
      <c r="G57" s="12">
        <v>80</v>
      </c>
      <c r="H57" s="8">
        <v>4.16</v>
      </c>
      <c r="I57" s="12">
        <v>0</v>
      </c>
    </row>
    <row r="58" spans="2:9" ht="15" customHeight="1" x14ac:dyDescent="0.2">
      <c r="B58" t="s">
        <v>153</v>
      </c>
      <c r="C58" s="12">
        <v>84</v>
      </c>
      <c r="D58" s="8">
        <v>1.97</v>
      </c>
      <c r="E58" s="12">
        <v>32</v>
      </c>
      <c r="F58" s="8">
        <v>1.4</v>
      </c>
      <c r="G58" s="12">
        <v>52</v>
      </c>
      <c r="H58" s="8">
        <v>2.7</v>
      </c>
      <c r="I58" s="12">
        <v>0</v>
      </c>
    </row>
    <row r="59" spans="2:9" ht="15" customHeight="1" x14ac:dyDescent="0.2">
      <c r="B59" t="s">
        <v>161</v>
      </c>
      <c r="C59" s="12">
        <v>80</v>
      </c>
      <c r="D59" s="8">
        <v>1.88</v>
      </c>
      <c r="E59" s="12">
        <v>63</v>
      </c>
      <c r="F59" s="8">
        <v>2.76</v>
      </c>
      <c r="G59" s="12">
        <v>17</v>
      </c>
      <c r="H59" s="8">
        <v>0.88</v>
      </c>
      <c r="I59" s="12">
        <v>0</v>
      </c>
    </row>
    <row r="60" spans="2:9" ht="15" customHeight="1" x14ac:dyDescent="0.2">
      <c r="B60" t="s">
        <v>152</v>
      </c>
      <c r="C60" s="12">
        <v>72</v>
      </c>
      <c r="D60" s="8">
        <v>1.69</v>
      </c>
      <c r="E60" s="12">
        <v>10</v>
      </c>
      <c r="F60" s="8">
        <v>0.44</v>
      </c>
      <c r="G60" s="12">
        <v>62</v>
      </c>
      <c r="H60" s="8">
        <v>3.22</v>
      </c>
      <c r="I60" s="12">
        <v>0</v>
      </c>
    </row>
    <row r="61" spans="2:9" ht="15" customHeight="1" x14ac:dyDescent="0.2">
      <c r="B61" t="s">
        <v>215</v>
      </c>
      <c r="C61" s="12">
        <v>70</v>
      </c>
      <c r="D61" s="8">
        <v>1.64</v>
      </c>
      <c r="E61" s="12">
        <v>45</v>
      </c>
      <c r="F61" s="8">
        <v>1.97</v>
      </c>
      <c r="G61" s="12">
        <v>25</v>
      </c>
      <c r="H61" s="8">
        <v>1.3</v>
      </c>
      <c r="I61" s="12">
        <v>0</v>
      </c>
    </row>
    <row r="62" spans="2:9" ht="15" customHeight="1" x14ac:dyDescent="0.2">
      <c r="B62" t="s">
        <v>199</v>
      </c>
      <c r="C62" s="12">
        <v>61</v>
      </c>
      <c r="D62" s="8">
        <v>1.43</v>
      </c>
      <c r="E62" s="12">
        <v>47</v>
      </c>
      <c r="F62" s="8">
        <v>2.06</v>
      </c>
      <c r="G62" s="12">
        <v>14</v>
      </c>
      <c r="H62" s="8">
        <v>0.73</v>
      </c>
      <c r="I62" s="12">
        <v>0</v>
      </c>
    </row>
    <row r="63" spans="2:9" ht="15" customHeight="1" x14ac:dyDescent="0.2">
      <c r="B63" t="s">
        <v>198</v>
      </c>
      <c r="C63" s="12">
        <v>57</v>
      </c>
      <c r="D63" s="8">
        <v>1.34</v>
      </c>
      <c r="E63" s="12">
        <v>45</v>
      </c>
      <c r="F63" s="8">
        <v>1.97</v>
      </c>
      <c r="G63" s="12">
        <v>12</v>
      </c>
      <c r="H63" s="8">
        <v>0.62</v>
      </c>
      <c r="I63" s="12">
        <v>0</v>
      </c>
    </row>
    <row r="64" spans="2:9" ht="15" customHeight="1" x14ac:dyDescent="0.2">
      <c r="B64" t="s">
        <v>158</v>
      </c>
      <c r="C64" s="12">
        <v>56</v>
      </c>
      <c r="D64" s="8">
        <v>1.31</v>
      </c>
      <c r="E64" s="12">
        <v>11</v>
      </c>
      <c r="F64" s="8">
        <v>0.48</v>
      </c>
      <c r="G64" s="12">
        <v>45</v>
      </c>
      <c r="H64" s="8">
        <v>2.34</v>
      </c>
      <c r="I64" s="12">
        <v>0</v>
      </c>
    </row>
    <row r="65" spans="2:9" ht="15" customHeight="1" x14ac:dyDescent="0.2">
      <c r="B65" t="s">
        <v>174</v>
      </c>
      <c r="C65" s="12">
        <v>54</v>
      </c>
      <c r="D65" s="8">
        <v>1.27</v>
      </c>
      <c r="E65" s="12">
        <v>14</v>
      </c>
      <c r="F65" s="8">
        <v>0.61</v>
      </c>
      <c r="G65" s="12">
        <v>40</v>
      </c>
      <c r="H65" s="8">
        <v>2.08</v>
      </c>
      <c r="I65" s="12">
        <v>0</v>
      </c>
    </row>
    <row r="66" spans="2:9" ht="15" customHeight="1" x14ac:dyDescent="0.2">
      <c r="B66" t="s">
        <v>156</v>
      </c>
      <c r="C66" s="12">
        <v>51</v>
      </c>
      <c r="D66" s="8">
        <v>1.2</v>
      </c>
      <c r="E66" s="12">
        <v>38</v>
      </c>
      <c r="F66" s="8">
        <v>1.66</v>
      </c>
      <c r="G66" s="12">
        <v>13</v>
      </c>
      <c r="H66" s="8">
        <v>0.68</v>
      </c>
      <c r="I66" s="12">
        <v>0</v>
      </c>
    </row>
    <row r="68" spans="2:9" ht="15" customHeight="1" x14ac:dyDescent="0.2">
      <c r="B68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18BBB-145F-4631-AE83-D949F8A9F712}">
  <sheetPr>
    <pageSetUpPr fitToPage="1"/>
  </sheetPr>
  <dimension ref="A1:I1731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150</v>
      </c>
      <c r="B1" s="3" t="s">
        <v>268</v>
      </c>
      <c r="C1" s="7" t="s">
        <v>91</v>
      </c>
      <c r="D1" s="7" t="s">
        <v>92</v>
      </c>
      <c r="E1" s="7" t="s">
        <v>93</v>
      </c>
      <c r="F1" s="7" t="s">
        <v>94</v>
      </c>
      <c r="G1" s="7" t="s">
        <v>95</v>
      </c>
      <c r="H1" s="7" t="s">
        <v>96</v>
      </c>
      <c r="I1" s="7" t="s">
        <v>97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160</v>
      </c>
      <c r="C3" s="4">
        <v>11634</v>
      </c>
      <c r="D3" s="8">
        <v>5.32</v>
      </c>
      <c r="E3" s="4">
        <v>4001</v>
      </c>
      <c r="F3" s="8">
        <v>3.88</v>
      </c>
      <c r="G3" s="4">
        <v>7630</v>
      </c>
      <c r="H3" s="8">
        <v>6.64</v>
      </c>
      <c r="I3" s="4">
        <v>2</v>
      </c>
    </row>
    <row r="4" spans="1:9" x14ac:dyDescent="0.2">
      <c r="A4" s="2">
        <v>2</v>
      </c>
      <c r="B4" s="1" t="s">
        <v>169</v>
      </c>
      <c r="C4" s="4">
        <v>8017</v>
      </c>
      <c r="D4" s="8">
        <v>3.66</v>
      </c>
      <c r="E4" s="4">
        <v>7139</v>
      </c>
      <c r="F4" s="8">
        <v>6.92</v>
      </c>
      <c r="G4" s="4">
        <v>878</v>
      </c>
      <c r="H4" s="8">
        <v>0.76</v>
      </c>
      <c r="I4" s="4">
        <v>0</v>
      </c>
    </row>
    <row r="5" spans="1:9" x14ac:dyDescent="0.2">
      <c r="A5" s="2">
        <v>3</v>
      </c>
      <c r="B5" s="1" t="s">
        <v>171</v>
      </c>
      <c r="C5" s="4">
        <v>6015</v>
      </c>
      <c r="D5" s="8">
        <v>2.75</v>
      </c>
      <c r="E5" s="4">
        <v>5152</v>
      </c>
      <c r="F5" s="8">
        <v>4.99</v>
      </c>
      <c r="G5" s="4">
        <v>861</v>
      </c>
      <c r="H5" s="8">
        <v>0.75</v>
      </c>
      <c r="I5" s="4">
        <v>2</v>
      </c>
    </row>
    <row r="6" spans="1:9" x14ac:dyDescent="0.2">
      <c r="A6" s="2">
        <v>4</v>
      </c>
      <c r="B6" s="1" t="s">
        <v>165</v>
      </c>
      <c r="C6" s="4">
        <v>5678</v>
      </c>
      <c r="D6" s="8">
        <v>2.59</v>
      </c>
      <c r="E6" s="4">
        <v>5171</v>
      </c>
      <c r="F6" s="8">
        <v>5.01</v>
      </c>
      <c r="G6" s="4">
        <v>507</v>
      </c>
      <c r="H6" s="8">
        <v>0.44</v>
      </c>
      <c r="I6" s="4">
        <v>0</v>
      </c>
    </row>
    <row r="7" spans="1:9" x14ac:dyDescent="0.2">
      <c r="A7" s="2">
        <v>5</v>
      </c>
      <c r="B7" s="1" t="s">
        <v>159</v>
      </c>
      <c r="C7" s="4">
        <v>5420</v>
      </c>
      <c r="D7" s="8">
        <v>2.48</v>
      </c>
      <c r="E7" s="4">
        <v>765</v>
      </c>
      <c r="F7" s="8">
        <v>0.74</v>
      </c>
      <c r="G7" s="4">
        <v>4649</v>
      </c>
      <c r="H7" s="8">
        <v>4.05</v>
      </c>
      <c r="I7" s="4">
        <v>5</v>
      </c>
    </row>
    <row r="8" spans="1:9" x14ac:dyDescent="0.2">
      <c r="A8" s="2">
        <v>6</v>
      </c>
      <c r="B8" s="1" t="s">
        <v>167</v>
      </c>
      <c r="C8" s="4">
        <v>5393</v>
      </c>
      <c r="D8" s="8">
        <v>2.46</v>
      </c>
      <c r="E8" s="4">
        <v>5016</v>
      </c>
      <c r="F8" s="8">
        <v>4.8600000000000003</v>
      </c>
      <c r="G8" s="4">
        <v>372</v>
      </c>
      <c r="H8" s="8">
        <v>0.32</v>
      </c>
      <c r="I8" s="4">
        <v>5</v>
      </c>
    </row>
    <row r="9" spans="1:9" x14ac:dyDescent="0.2">
      <c r="A9" s="2">
        <v>7</v>
      </c>
      <c r="B9" s="1" t="s">
        <v>164</v>
      </c>
      <c r="C9" s="4">
        <v>5240</v>
      </c>
      <c r="D9" s="8">
        <v>2.39</v>
      </c>
      <c r="E9" s="4">
        <v>4247</v>
      </c>
      <c r="F9" s="8">
        <v>4.12</v>
      </c>
      <c r="G9" s="4">
        <v>993</v>
      </c>
      <c r="H9" s="8">
        <v>0.86</v>
      </c>
      <c r="I9" s="4">
        <v>0</v>
      </c>
    </row>
    <row r="10" spans="1:9" x14ac:dyDescent="0.2">
      <c r="A10" s="2">
        <v>8</v>
      </c>
      <c r="B10" s="1" t="s">
        <v>168</v>
      </c>
      <c r="C10" s="4">
        <v>4266</v>
      </c>
      <c r="D10" s="8">
        <v>1.95</v>
      </c>
      <c r="E10" s="4">
        <v>4086</v>
      </c>
      <c r="F10" s="8">
        <v>3.96</v>
      </c>
      <c r="G10" s="4">
        <v>180</v>
      </c>
      <c r="H10" s="8">
        <v>0.16</v>
      </c>
      <c r="I10" s="4">
        <v>0</v>
      </c>
    </row>
    <row r="11" spans="1:9" x14ac:dyDescent="0.2">
      <c r="A11" s="2">
        <v>9</v>
      </c>
      <c r="B11" s="1" t="s">
        <v>157</v>
      </c>
      <c r="C11" s="4">
        <v>4205</v>
      </c>
      <c r="D11" s="8">
        <v>1.92</v>
      </c>
      <c r="E11" s="4">
        <v>3004</v>
      </c>
      <c r="F11" s="8">
        <v>2.91</v>
      </c>
      <c r="G11" s="4">
        <v>1197</v>
      </c>
      <c r="H11" s="8">
        <v>1.04</v>
      </c>
      <c r="I11" s="4">
        <v>4</v>
      </c>
    </row>
    <row r="12" spans="1:9" x14ac:dyDescent="0.2">
      <c r="A12" s="2">
        <v>10</v>
      </c>
      <c r="B12" s="1" t="s">
        <v>170</v>
      </c>
      <c r="C12" s="4">
        <v>4146</v>
      </c>
      <c r="D12" s="8">
        <v>1.89</v>
      </c>
      <c r="E12" s="4">
        <v>3213</v>
      </c>
      <c r="F12" s="8">
        <v>3.11</v>
      </c>
      <c r="G12" s="4">
        <v>918</v>
      </c>
      <c r="H12" s="8">
        <v>0.8</v>
      </c>
      <c r="I12" s="4">
        <v>15</v>
      </c>
    </row>
    <row r="13" spans="1:9" x14ac:dyDescent="0.2">
      <c r="A13" s="2">
        <v>11</v>
      </c>
      <c r="B13" s="1" t="s">
        <v>161</v>
      </c>
      <c r="C13" s="4">
        <v>3662</v>
      </c>
      <c r="D13" s="8">
        <v>1.67</v>
      </c>
      <c r="E13" s="4">
        <v>2547</v>
      </c>
      <c r="F13" s="8">
        <v>2.4700000000000002</v>
      </c>
      <c r="G13" s="4">
        <v>1113</v>
      </c>
      <c r="H13" s="8">
        <v>0.97</v>
      </c>
      <c r="I13" s="4">
        <v>2</v>
      </c>
    </row>
    <row r="14" spans="1:9" x14ac:dyDescent="0.2">
      <c r="A14" s="2">
        <v>12</v>
      </c>
      <c r="B14" s="1" t="s">
        <v>166</v>
      </c>
      <c r="C14" s="4">
        <v>3587</v>
      </c>
      <c r="D14" s="8">
        <v>1.64</v>
      </c>
      <c r="E14" s="4">
        <v>3365</v>
      </c>
      <c r="F14" s="8">
        <v>3.26</v>
      </c>
      <c r="G14" s="4">
        <v>220</v>
      </c>
      <c r="H14" s="8">
        <v>0.19</v>
      </c>
      <c r="I14" s="4">
        <v>2</v>
      </c>
    </row>
    <row r="15" spans="1:9" x14ac:dyDescent="0.2">
      <c r="A15" s="2">
        <v>13</v>
      </c>
      <c r="B15" s="1" t="s">
        <v>162</v>
      </c>
      <c r="C15" s="4">
        <v>3382</v>
      </c>
      <c r="D15" s="8">
        <v>1.55</v>
      </c>
      <c r="E15" s="4">
        <v>210</v>
      </c>
      <c r="F15" s="8">
        <v>0.2</v>
      </c>
      <c r="G15" s="4">
        <v>3145</v>
      </c>
      <c r="H15" s="8">
        <v>2.74</v>
      </c>
      <c r="I15" s="4">
        <v>23</v>
      </c>
    </row>
    <row r="16" spans="1:9" x14ac:dyDescent="0.2">
      <c r="A16" s="2">
        <v>14</v>
      </c>
      <c r="B16" s="1" t="s">
        <v>158</v>
      </c>
      <c r="C16" s="4">
        <v>3331</v>
      </c>
      <c r="D16" s="8">
        <v>1.52</v>
      </c>
      <c r="E16" s="4">
        <v>623</v>
      </c>
      <c r="F16" s="8">
        <v>0.6</v>
      </c>
      <c r="G16" s="4">
        <v>2707</v>
      </c>
      <c r="H16" s="8">
        <v>2.36</v>
      </c>
      <c r="I16" s="4">
        <v>1</v>
      </c>
    </row>
    <row r="17" spans="1:9" x14ac:dyDescent="0.2">
      <c r="A17" s="2">
        <v>15</v>
      </c>
      <c r="B17" s="1" t="s">
        <v>156</v>
      </c>
      <c r="C17" s="4">
        <v>2778</v>
      </c>
      <c r="D17" s="8">
        <v>1.27</v>
      </c>
      <c r="E17" s="4">
        <v>1953</v>
      </c>
      <c r="F17" s="8">
        <v>1.89</v>
      </c>
      <c r="G17" s="4">
        <v>821</v>
      </c>
      <c r="H17" s="8">
        <v>0.71</v>
      </c>
      <c r="I17" s="4">
        <v>4</v>
      </c>
    </row>
    <row r="18" spans="1:9" x14ac:dyDescent="0.2">
      <c r="A18" s="2">
        <v>16</v>
      </c>
      <c r="B18" s="1" t="s">
        <v>153</v>
      </c>
      <c r="C18" s="4">
        <v>2730</v>
      </c>
      <c r="D18" s="8">
        <v>1.25</v>
      </c>
      <c r="E18" s="4">
        <v>603</v>
      </c>
      <c r="F18" s="8">
        <v>0.57999999999999996</v>
      </c>
      <c r="G18" s="4">
        <v>2126</v>
      </c>
      <c r="H18" s="8">
        <v>1.85</v>
      </c>
      <c r="I18" s="4">
        <v>1</v>
      </c>
    </row>
    <row r="19" spans="1:9" x14ac:dyDescent="0.2">
      <c r="A19" s="2">
        <v>17</v>
      </c>
      <c r="B19" s="1" t="s">
        <v>152</v>
      </c>
      <c r="C19" s="4">
        <v>2702</v>
      </c>
      <c r="D19" s="8">
        <v>1.23</v>
      </c>
      <c r="E19" s="4">
        <v>394</v>
      </c>
      <c r="F19" s="8">
        <v>0.38</v>
      </c>
      <c r="G19" s="4">
        <v>2307</v>
      </c>
      <c r="H19" s="8">
        <v>2.0099999999999998</v>
      </c>
      <c r="I19" s="4">
        <v>1</v>
      </c>
    </row>
    <row r="20" spans="1:9" x14ac:dyDescent="0.2">
      <c r="A20" s="2">
        <v>18</v>
      </c>
      <c r="B20" s="1" t="s">
        <v>163</v>
      </c>
      <c r="C20" s="4">
        <v>2671</v>
      </c>
      <c r="D20" s="8">
        <v>1.22</v>
      </c>
      <c r="E20" s="4">
        <v>2528</v>
      </c>
      <c r="F20" s="8">
        <v>2.4500000000000002</v>
      </c>
      <c r="G20" s="4">
        <v>143</v>
      </c>
      <c r="H20" s="8">
        <v>0.12</v>
      </c>
      <c r="I20" s="4">
        <v>0</v>
      </c>
    </row>
    <row r="21" spans="1:9" x14ac:dyDescent="0.2">
      <c r="A21" s="2">
        <v>19</v>
      </c>
      <c r="B21" s="1" t="s">
        <v>155</v>
      </c>
      <c r="C21" s="4">
        <v>2527</v>
      </c>
      <c r="D21" s="8">
        <v>1.1499999999999999</v>
      </c>
      <c r="E21" s="4">
        <v>1346</v>
      </c>
      <c r="F21" s="8">
        <v>1.3</v>
      </c>
      <c r="G21" s="4">
        <v>1180</v>
      </c>
      <c r="H21" s="8">
        <v>1.03</v>
      </c>
      <c r="I21" s="4">
        <v>1</v>
      </c>
    </row>
    <row r="22" spans="1:9" x14ac:dyDescent="0.2">
      <c r="A22" s="2">
        <v>20</v>
      </c>
      <c r="B22" s="1" t="s">
        <v>154</v>
      </c>
      <c r="C22" s="4">
        <v>2510</v>
      </c>
      <c r="D22" s="8">
        <v>1.1499999999999999</v>
      </c>
      <c r="E22" s="4">
        <v>421</v>
      </c>
      <c r="F22" s="8">
        <v>0.41</v>
      </c>
      <c r="G22" s="4">
        <v>2089</v>
      </c>
      <c r="H22" s="8">
        <v>1.82</v>
      </c>
      <c r="I22" s="4">
        <v>0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160</v>
      </c>
      <c r="C25" s="4">
        <v>5280</v>
      </c>
      <c r="D25" s="8">
        <v>5.41</v>
      </c>
      <c r="E25" s="4">
        <v>1941</v>
      </c>
      <c r="F25" s="8">
        <v>4.5</v>
      </c>
      <c r="G25" s="4">
        <v>3339</v>
      </c>
      <c r="H25" s="8">
        <v>6.15</v>
      </c>
      <c r="I25" s="4">
        <v>0</v>
      </c>
    </row>
    <row r="26" spans="1:9" x14ac:dyDescent="0.2">
      <c r="A26" s="2">
        <v>2</v>
      </c>
      <c r="B26" s="1" t="s">
        <v>164</v>
      </c>
      <c r="C26" s="4">
        <v>3009</v>
      </c>
      <c r="D26" s="8">
        <v>3.08</v>
      </c>
      <c r="E26" s="4">
        <v>2290</v>
      </c>
      <c r="F26" s="8">
        <v>5.31</v>
      </c>
      <c r="G26" s="4">
        <v>719</v>
      </c>
      <c r="H26" s="8">
        <v>1.32</v>
      </c>
      <c r="I26" s="4">
        <v>0</v>
      </c>
    </row>
    <row r="27" spans="1:9" x14ac:dyDescent="0.2">
      <c r="A27" s="2">
        <v>3</v>
      </c>
      <c r="B27" s="1" t="s">
        <v>165</v>
      </c>
      <c r="C27" s="4">
        <v>2762</v>
      </c>
      <c r="D27" s="8">
        <v>2.83</v>
      </c>
      <c r="E27" s="4">
        <v>2420</v>
      </c>
      <c r="F27" s="8">
        <v>5.61</v>
      </c>
      <c r="G27" s="4">
        <v>342</v>
      </c>
      <c r="H27" s="8">
        <v>0.63</v>
      </c>
      <c r="I27" s="4">
        <v>0</v>
      </c>
    </row>
    <row r="28" spans="1:9" x14ac:dyDescent="0.2">
      <c r="A28" s="2">
        <v>4</v>
      </c>
      <c r="B28" s="1" t="s">
        <v>169</v>
      </c>
      <c r="C28" s="4">
        <v>2698</v>
      </c>
      <c r="D28" s="8">
        <v>2.76</v>
      </c>
      <c r="E28" s="4">
        <v>2323</v>
      </c>
      <c r="F28" s="8">
        <v>5.39</v>
      </c>
      <c r="G28" s="4">
        <v>375</v>
      </c>
      <c r="H28" s="8">
        <v>0.69</v>
      </c>
      <c r="I28" s="4">
        <v>0</v>
      </c>
    </row>
    <row r="29" spans="1:9" x14ac:dyDescent="0.2">
      <c r="A29" s="2">
        <v>5</v>
      </c>
      <c r="B29" s="1" t="s">
        <v>167</v>
      </c>
      <c r="C29" s="4">
        <v>2378</v>
      </c>
      <c r="D29" s="8">
        <v>2.44</v>
      </c>
      <c r="E29" s="4">
        <v>2190</v>
      </c>
      <c r="F29" s="8">
        <v>5.08</v>
      </c>
      <c r="G29" s="4">
        <v>186</v>
      </c>
      <c r="H29" s="8">
        <v>0.34</v>
      </c>
      <c r="I29" s="4">
        <v>2</v>
      </c>
    </row>
    <row r="30" spans="1:9" x14ac:dyDescent="0.2">
      <c r="A30" s="2">
        <v>6</v>
      </c>
      <c r="B30" s="1" t="s">
        <v>171</v>
      </c>
      <c r="C30" s="4">
        <v>2307</v>
      </c>
      <c r="D30" s="8">
        <v>2.36</v>
      </c>
      <c r="E30" s="4">
        <v>1918</v>
      </c>
      <c r="F30" s="8">
        <v>4.45</v>
      </c>
      <c r="G30" s="4">
        <v>388</v>
      </c>
      <c r="H30" s="8">
        <v>0.71</v>
      </c>
      <c r="I30" s="4">
        <v>1</v>
      </c>
    </row>
    <row r="31" spans="1:9" x14ac:dyDescent="0.2">
      <c r="A31" s="2">
        <v>7</v>
      </c>
      <c r="B31" s="1" t="s">
        <v>159</v>
      </c>
      <c r="C31" s="4">
        <v>2296</v>
      </c>
      <c r="D31" s="8">
        <v>2.35</v>
      </c>
      <c r="E31" s="4">
        <v>408</v>
      </c>
      <c r="F31" s="8">
        <v>0.95</v>
      </c>
      <c r="G31" s="4">
        <v>1885</v>
      </c>
      <c r="H31" s="8">
        <v>3.47</v>
      </c>
      <c r="I31" s="4">
        <v>3</v>
      </c>
    </row>
    <row r="32" spans="1:9" x14ac:dyDescent="0.2">
      <c r="A32" s="2">
        <v>8</v>
      </c>
      <c r="B32" s="1" t="s">
        <v>166</v>
      </c>
      <c r="C32" s="4">
        <v>1999</v>
      </c>
      <c r="D32" s="8">
        <v>2.0499999999999998</v>
      </c>
      <c r="E32" s="4">
        <v>1832</v>
      </c>
      <c r="F32" s="8">
        <v>4.25</v>
      </c>
      <c r="G32" s="4">
        <v>166</v>
      </c>
      <c r="H32" s="8">
        <v>0.31</v>
      </c>
      <c r="I32" s="4">
        <v>1</v>
      </c>
    </row>
    <row r="33" spans="1:9" x14ac:dyDescent="0.2">
      <c r="A33" s="2">
        <v>9</v>
      </c>
      <c r="B33" s="1" t="s">
        <v>163</v>
      </c>
      <c r="C33" s="4">
        <v>1989</v>
      </c>
      <c r="D33" s="8">
        <v>2.04</v>
      </c>
      <c r="E33" s="4">
        <v>1871</v>
      </c>
      <c r="F33" s="8">
        <v>4.34</v>
      </c>
      <c r="G33" s="4">
        <v>118</v>
      </c>
      <c r="H33" s="8">
        <v>0.22</v>
      </c>
      <c r="I33" s="4">
        <v>0</v>
      </c>
    </row>
    <row r="34" spans="1:9" x14ac:dyDescent="0.2">
      <c r="A34" s="2">
        <v>10</v>
      </c>
      <c r="B34" s="1" t="s">
        <v>157</v>
      </c>
      <c r="C34" s="4">
        <v>1899</v>
      </c>
      <c r="D34" s="8">
        <v>1.94</v>
      </c>
      <c r="E34" s="4">
        <v>1291</v>
      </c>
      <c r="F34" s="8">
        <v>2.99</v>
      </c>
      <c r="G34" s="4">
        <v>607</v>
      </c>
      <c r="H34" s="8">
        <v>1.1200000000000001</v>
      </c>
      <c r="I34" s="4">
        <v>1</v>
      </c>
    </row>
    <row r="35" spans="1:9" x14ac:dyDescent="0.2">
      <c r="A35" s="2">
        <v>11</v>
      </c>
      <c r="B35" s="1" t="s">
        <v>158</v>
      </c>
      <c r="C35" s="4">
        <v>1729</v>
      </c>
      <c r="D35" s="8">
        <v>1.77</v>
      </c>
      <c r="E35" s="4">
        <v>260</v>
      </c>
      <c r="F35" s="8">
        <v>0.6</v>
      </c>
      <c r="G35" s="4">
        <v>1468</v>
      </c>
      <c r="H35" s="8">
        <v>2.7</v>
      </c>
      <c r="I35" s="4">
        <v>1</v>
      </c>
    </row>
    <row r="36" spans="1:9" x14ac:dyDescent="0.2">
      <c r="A36" s="2">
        <v>12</v>
      </c>
      <c r="B36" s="1" t="s">
        <v>154</v>
      </c>
      <c r="C36" s="4">
        <v>1459</v>
      </c>
      <c r="D36" s="8">
        <v>1.49</v>
      </c>
      <c r="E36" s="4">
        <v>220</v>
      </c>
      <c r="F36" s="8">
        <v>0.51</v>
      </c>
      <c r="G36" s="4">
        <v>1239</v>
      </c>
      <c r="H36" s="8">
        <v>2.2799999999999998</v>
      </c>
      <c r="I36" s="4">
        <v>0</v>
      </c>
    </row>
    <row r="37" spans="1:9" x14ac:dyDescent="0.2">
      <c r="A37" s="2">
        <v>13</v>
      </c>
      <c r="B37" s="1" t="s">
        <v>172</v>
      </c>
      <c r="C37" s="4">
        <v>1449</v>
      </c>
      <c r="D37" s="8">
        <v>1.48</v>
      </c>
      <c r="E37" s="4">
        <v>493</v>
      </c>
      <c r="F37" s="8">
        <v>1.1399999999999999</v>
      </c>
      <c r="G37" s="4">
        <v>950</v>
      </c>
      <c r="H37" s="8">
        <v>1.75</v>
      </c>
      <c r="I37" s="4">
        <v>2</v>
      </c>
    </row>
    <row r="38" spans="1:9" x14ac:dyDescent="0.2">
      <c r="A38" s="2">
        <v>14</v>
      </c>
      <c r="B38" s="1" t="s">
        <v>162</v>
      </c>
      <c r="C38" s="4">
        <v>1428</v>
      </c>
      <c r="D38" s="8">
        <v>1.46</v>
      </c>
      <c r="E38" s="4">
        <v>101</v>
      </c>
      <c r="F38" s="8">
        <v>0.23</v>
      </c>
      <c r="G38" s="4">
        <v>1315</v>
      </c>
      <c r="H38" s="8">
        <v>2.42</v>
      </c>
      <c r="I38" s="4">
        <v>11</v>
      </c>
    </row>
    <row r="39" spans="1:9" x14ac:dyDescent="0.2">
      <c r="A39" s="2">
        <v>15</v>
      </c>
      <c r="B39" s="1" t="s">
        <v>168</v>
      </c>
      <c r="C39" s="4">
        <v>1385</v>
      </c>
      <c r="D39" s="8">
        <v>1.42</v>
      </c>
      <c r="E39" s="4">
        <v>1314</v>
      </c>
      <c r="F39" s="8">
        <v>3.05</v>
      </c>
      <c r="G39" s="4">
        <v>71</v>
      </c>
      <c r="H39" s="8">
        <v>0.13</v>
      </c>
      <c r="I39" s="4">
        <v>0</v>
      </c>
    </row>
    <row r="40" spans="1:9" x14ac:dyDescent="0.2">
      <c r="A40" s="2">
        <v>16</v>
      </c>
      <c r="B40" s="1" t="s">
        <v>170</v>
      </c>
      <c r="C40" s="4">
        <v>1308</v>
      </c>
      <c r="D40" s="8">
        <v>1.34</v>
      </c>
      <c r="E40" s="4">
        <v>918</v>
      </c>
      <c r="F40" s="8">
        <v>2.13</v>
      </c>
      <c r="G40" s="4">
        <v>385</v>
      </c>
      <c r="H40" s="8">
        <v>0.71</v>
      </c>
      <c r="I40" s="4">
        <v>5</v>
      </c>
    </row>
    <row r="41" spans="1:9" x14ac:dyDescent="0.2">
      <c r="A41" s="2">
        <v>17</v>
      </c>
      <c r="B41" s="1" t="s">
        <v>161</v>
      </c>
      <c r="C41" s="4">
        <v>1307</v>
      </c>
      <c r="D41" s="8">
        <v>1.34</v>
      </c>
      <c r="E41" s="4">
        <v>814</v>
      </c>
      <c r="F41" s="8">
        <v>1.89</v>
      </c>
      <c r="G41" s="4">
        <v>492</v>
      </c>
      <c r="H41" s="8">
        <v>0.91</v>
      </c>
      <c r="I41" s="4">
        <v>1</v>
      </c>
    </row>
    <row r="42" spans="1:9" x14ac:dyDescent="0.2">
      <c r="A42" s="2">
        <v>18</v>
      </c>
      <c r="B42" s="1" t="s">
        <v>155</v>
      </c>
      <c r="C42" s="4">
        <v>1283</v>
      </c>
      <c r="D42" s="8">
        <v>1.31</v>
      </c>
      <c r="E42" s="4">
        <v>600</v>
      </c>
      <c r="F42" s="8">
        <v>1.39</v>
      </c>
      <c r="G42" s="4">
        <v>682</v>
      </c>
      <c r="H42" s="8">
        <v>1.26</v>
      </c>
      <c r="I42" s="4">
        <v>1</v>
      </c>
    </row>
    <row r="43" spans="1:9" x14ac:dyDescent="0.2">
      <c r="A43" s="2">
        <v>19</v>
      </c>
      <c r="B43" s="1" t="s">
        <v>156</v>
      </c>
      <c r="C43" s="4">
        <v>1255</v>
      </c>
      <c r="D43" s="8">
        <v>1.29</v>
      </c>
      <c r="E43" s="4">
        <v>871</v>
      </c>
      <c r="F43" s="8">
        <v>2.02</v>
      </c>
      <c r="G43" s="4">
        <v>384</v>
      </c>
      <c r="H43" s="8">
        <v>0.71</v>
      </c>
      <c r="I43" s="4">
        <v>0</v>
      </c>
    </row>
    <row r="44" spans="1:9" x14ac:dyDescent="0.2">
      <c r="A44" s="2">
        <v>20</v>
      </c>
      <c r="B44" s="1" t="s">
        <v>173</v>
      </c>
      <c r="C44" s="4">
        <v>1211</v>
      </c>
      <c r="D44" s="8">
        <v>1.24</v>
      </c>
      <c r="E44" s="4">
        <v>114</v>
      </c>
      <c r="F44" s="8">
        <v>0.26</v>
      </c>
      <c r="G44" s="4">
        <v>1065</v>
      </c>
      <c r="H44" s="8">
        <v>1.96</v>
      </c>
      <c r="I44" s="4">
        <v>29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160</v>
      </c>
      <c r="C47" s="4">
        <v>223</v>
      </c>
      <c r="D47" s="8">
        <v>8.25</v>
      </c>
      <c r="E47" s="4">
        <v>91</v>
      </c>
      <c r="F47" s="8">
        <v>7.33</v>
      </c>
      <c r="G47" s="4">
        <v>132</v>
      </c>
      <c r="H47" s="8">
        <v>9.07</v>
      </c>
      <c r="I47" s="4">
        <v>0</v>
      </c>
    </row>
    <row r="48" spans="1:9" x14ac:dyDescent="0.2">
      <c r="A48" s="2">
        <v>2</v>
      </c>
      <c r="B48" s="1" t="s">
        <v>165</v>
      </c>
      <c r="C48" s="4">
        <v>106</v>
      </c>
      <c r="D48" s="8">
        <v>3.92</v>
      </c>
      <c r="E48" s="4">
        <v>87</v>
      </c>
      <c r="F48" s="8">
        <v>7.01</v>
      </c>
      <c r="G48" s="4">
        <v>19</v>
      </c>
      <c r="H48" s="8">
        <v>1.3</v>
      </c>
      <c r="I48" s="4">
        <v>0</v>
      </c>
    </row>
    <row r="49" spans="1:9" x14ac:dyDescent="0.2">
      <c r="A49" s="2">
        <v>3</v>
      </c>
      <c r="B49" s="1" t="s">
        <v>169</v>
      </c>
      <c r="C49" s="4">
        <v>101</v>
      </c>
      <c r="D49" s="8">
        <v>3.74</v>
      </c>
      <c r="E49" s="4">
        <v>76</v>
      </c>
      <c r="F49" s="8">
        <v>6.12</v>
      </c>
      <c r="G49" s="4">
        <v>25</v>
      </c>
      <c r="H49" s="8">
        <v>1.72</v>
      </c>
      <c r="I49" s="4">
        <v>0</v>
      </c>
    </row>
    <row r="50" spans="1:9" x14ac:dyDescent="0.2">
      <c r="A50" s="2">
        <v>4</v>
      </c>
      <c r="B50" s="1" t="s">
        <v>164</v>
      </c>
      <c r="C50" s="4">
        <v>89</v>
      </c>
      <c r="D50" s="8">
        <v>3.29</v>
      </c>
      <c r="E50" s="4">
        <v>64</v>
      </c>
      <c r="F50" s="8">
        <v>5.16</v>
      </c>
      <c r="G50" s="4">
        <v>25</v>
      </c>
      <c r="H50" s="8">
        <v>1.72</v>
      </c>
      <c r="I50" s="4">
        <v>0</v>
      </c>
    </row>
    <row r="51" spans="1:9" x14ac:dyDescent="0.2">
      <c r="A51" s="2">
        <v>5</v>
      </c>
      <c r="B51" s="1" t="s">
        <v>171</v>
      </c>
      <c r="C51" s="4">
        <v>85</v>
      </c>
      <c r="D51" s="8">
        <v>3.14</v>
      </c>
      <c r="E51" s="4">
        <v>71</v>
      </c>
      <c r="F51" s="8">
        <v>5.72</v>
      </c>
      <c r="G51" s="4">
        <v>14</v>
      </c>
      <c r="H51" s="8">
        <v>0.96</v>
      </c>
      <c r="I51" s="4">
        <v>0</v>
      </c>
    </row>
    <row r="52" spans="1:9" x14ac:dyDescent="0.2">
      <c r="A52" s="2">
        <v>6</v>
      </c>
      <c r="B52" s="1" t="s">
        <v>167</v>
      </c>
      <c r="C52" s="4">
        <v>73</v>
      </c>
      <c r="D52" s="8">
        <v>2.7</v>
      </c>
      <c r="E52" s="4">
        <v>70</v>
      </c>
      <c r="F52" s="8">
        <v>5.64</v>
      </c>
      <c r="G52" s="4">
        <v>3</v>
      </c>
      <c r="H52" s="8">
        <v>0.21</v>
      </c>
      <c r="I52" s="4">
        <v>0</v>
      </c>
    </row>
    <row r="53" spans="1:9" x14ac:dyDescent="0.2">
      <c r="A53" s="2">
        <v>7</v>
      </c>
      <c r="B53" s="1" t="s">
        <v>159</v>
      </c>
      <c r="C53" s="4">
        <v>63</v>
      </c>
      <c r="D53" s="8">
        <v>2.33</v>
      </c>
      <c r="E53" s="4">
        <v>15</v>
      </c>
      <c r="F53" s="8">
        <v>1.21</v>
      </c>
      <c r="G53" s="4">
        <v>48</v>
      </c>
      <c r="H53" s="8">
        <v>3.3</v>
      </c>
      <c r="I53" s="4">
        <v>0</v>
      </c>
    </row>
    <row r="54" spans="1:9" x14ac:dyDescent="0.2">
      <c r="A54" s="2">
        <v>8</v>
      </c>
      <c r="B54" s="1" t="s">
        <v>166</v>
      </c>
      <c r="C54" s="4">
        <v>57</v>
      </c>
      <c r="D54" s="8">
        <v>2.11</v>
      </c>
      <c r="E54" s="4">
        <v>52</v>
      </c>
      <c r="F54" s="8">
        <v>4.1900000000000004</v>
      </c>
      <c r="G54" s="4">
        <v>5</v>
      </c>
      <c r="H54" s="8">
        <v>0.34</v>
      </c>
      <c r="I54" s="4">
        <v>0</v>
      </c>
    </row>
    <row r="55" spans="1:9" x14ac:dyDescent="0.2">
      <c r="A55" s="2">
        <v>9</v>
      </c>
      <c r="B55" s="1" t="s">
        <v>170</v>
      </c>
      <c r="C55" s="4">
        <v>54</v>
      </c>
      <c r="D55" s="8">
        <v>2</v>
      </c>
      <c r="E55" s="4">
        <v>33</v>
      </c>
      <c r="F55" s="8">
        <v>2.66</v>
      </c>
      <c r="G55" s="4">
        <v>21</v>
      </c>
      <c r="H55" s="8">
        <v>1.44</v>
      </c>
      <c r="I55" s="4">
        <v>0</v>
      </c>
    </row>
    <row r="56" spans="1:9" x14ac:dyDescent="0.2">
      <c r="A56" s="2">
        <v>10</v>
      </c>
      <c r="B56" s="1" t="s">
        <v>157</v>
      </c>
      <c r="C56" s="4">
        <v>53</v>
      </c>
      <c r="D56" s="8">
        <v>1.96</v>
      </c>
      <c r="E56" s="4">
        <v>41</v>
      </c>
      <c r="F56" s="8">
        <v>3.3</v>
      </c>
      <c r="G56" s="4">
        <v>12</v>
      </c>
      <c r="H56" s="8">
        <v>0.82</v>
      </c>
      <c r="I56" s="4">
        <v>0</v>
      </c>
    </row>
    <row r="57" spans="1:9" x14ac:dyDescent="0.2">
      <c r="A57" s="2">
        <v>11</v>
      </c>
      <c r="B57" s="1" t="s">
        <v>162</v>
      </c>
      <c r="C57" s="4">
        <v>49</v>
      </c>
      <c r="D57" s="8">
        <v>1.81</v>
      </c>
      <c r="E57" s="4">
        <v>1</v>
      </c>
      <c r="F57" s="8">
        <v>0.08</v>
      </c>
      <c r="G57" s="4">
        <v>48</v>
      </c>
      <c r="H57" s="8">
        <v>3.3</v>
      </c>
      <c r="I57" s="4">
        <v>0</v>
      </c>
    </row>
    <row r="58" spans="1:9" x14ac:dyDescent="0.2">
      <c r="A58" s="2">
        <v>12</v>
      </c>
      <c r="B58" s="1" t="s">
        <v>175</v>
      </c>
      <c r="C58" s="4">
        <v>44</v>
      </c>
      <c r="D58" s="8">
        <v>1.63</v>
      </c>
      <c r="E58" s="4">
        <v>16</v>
      </c>
      <c r="F58" s="8">
        <v>1.29</v>
      </c>
      <c r="G58" s="4">
        <v>28</v>
      </c>
      <c r="H58" s="8">
        <v>1.92</v>
      </c>
      <c r="I58" s="4">
        <v>0</v>
      </c>
    </row>
    <row r="59" spans="1:9" x14ac:dyDescent="0.2">
      <c r="A59" s="2">
        <v>13</v>
      </c>
      <c r="B59" s="1" t="s">
        <v>176</v>
      </c>
      <c r="C59" s="4">
        <v>42</v>
      </c>
      <c r="D59" s="8">
        <v>1.55</v>
      </c>
      <c r="E59" s="4">
        <v>20</v>
      </c>
      <c r="F59" s="8">
        <v>1.61</v>
      </c>
      <c r="G59" s="4">
        <v>22</v>
      </c>
      <c r="H59" s="8">
        <v>1.51</v>
      </c>
      <c r="I59" s="4">
        <v>0</v>
      </c>
    </row>
    <row r="60" spans="1:9" x14ac:dyDescent="0.2">
      <c r="A60" s="2">
        <v>14</v>
      </c>
      <c r="B60" s="1" t="s">
        <v>153</v>
      </c>
      <c r="C60" s="4">
        <v>41</v>
      </c>
      <c r="D60" s="8">
        <v>1.52</v>
      </c>
      <c r="E60" s="4">
        <v>3</v>
      </c>
      <c r="F60" s="8">
        <v>0.24</v>
      </c>
      <c r="G60" s="4">
        <v>38</v>
      </c>
      <c r="H60" s="8">
        <v>2.61</v>
      </c>
      <c r="I60" s="4">
        <v>0</v>
      </c>
    </row>
    <row r="61" spans="1:9" x14ac:dyDescent="0.2">
      <c r="A61" s="2">
        <v>15</v>
      </c>
      <c r="B61" s="1" t="s">
        <v>156</v>
      </c>
      <c r="C61" s="4">
        <v>40</v>
      </c>
      <c r="D61" s="8">
        <v>1.48</v>
      </c>
      <c r="E61" s="4">
        <v>22</v>
      </c>
      <c r="F61" s="8">
        <v>1.77</v>
      </c>
      <c r="G61" s="4">
        <v>18</v>
      </c>
      <c r="H61" s="8">
        <v>1.24</v>
      </c>
      <c r="I61" s="4">
        <v>0</v>
      </c>
    </row>
    <row r="62" spans="1:9" x14ac:dyDescent="0.2">
      <c r="A62" s="2">
        <v>16</v>
      </c>
      <c r="B62" s="1" t="s">
        <v>158</v>
      </c>
      <c r="C62" s="4">
        <v>39</v>
      </c>
      <c r="D62" s="8">
        <v>1.44</v>
      </c>
      <c r="E62" s="4">
        <v>8</v>
      </c>
      <c r="F62" s="8">
        <v>0.64</v>
      </c>
      <c r="G62" s="4">
        <v>31</v>
      </c>
      <c r="H62" s="8">
        <v>2.13</v>
      </c>
      <c r="I62" s="4">
        <v>0</v>
      </c>
    </row>
    <row r="63" spans="1:9" x14ac:dyDescent="0.2">
      <c r="A63" s="2">
        <v>17</v>
      </c>
      <c r="B63" s="1" t="s">
        <v>161</v>
      </c>
      <c r="C63" s="4">
        <v>38</v>
      </c>
      <c r="D63" s="8">
        <v>1.41</v>
      </c>
      <c r="E63" s="4">
        <v>27</v>
      </c>
      <c r="F63" s="8">
        <v>2.1800000000000002</v>
      </c>
      <c r="G63" s="4">
        <v>11</v>
      </c>
      <c r="H63" s="8">
        <v>0.76</v>
      </c>
      <c r="I63" s="4">
        <v>0</v>
      </c>
    </row>
    <row r="64" spans="1:9" x14ac:dyDescent="0.2">
      <c r="A64" s="2">
        <v>18</v>
      </c>
      <c r="B64" s="1" t="s">
        <v>155</v>
      </c>
      <c r="C64" s="4">
        <v>36</v>
      </c>
      <c r="D64" s="8">
        <v>1.33</v>
      </c>
      <c r="E64" s="4">
        <v>12</v>
      </c>
      <c r="F64" s="8">
        <v>0.97</v>
      </c>
      <c r="G64" s="4">
        <v>24</v>
      </c>
      <c r="H64" s="8">
        <v>1.65</v>
      </c>
      <c r="I64" s="4">
        <v>0</v>
      </c>
    </row>
    <row r="65" spans="1:9" x14ac:dyDescent="0.2">
      <c r="A65" s="2">
        <v>18</v>
      </c>
      <c r="B65" s="1" t="s">
        <v>168</v>
      </c>
      <c r="C65" s="4">
        <v>36</v>
      </c>
      <c r="D65" s="8">
        <v>1.33</v>
      </c>
      <c r="E65" s="4">
        <v>34</v>
      </c>
      <c r="F65" s="8">
        <v>2.74</v>
      </c>
      <c r="G65" s="4">
        <v>2</v>
      </c>
      <c r="H65" s="8">
        <v>0.14000000000000001</v>
      </c>
      <c r="I65" s="4">
        <v>0</v>
      </c>
    </row>
    <row r="66" spans="1:9" x14ac:dyDescent="0.2">
      <c r="A66" s="2">
        <v>20</v>
      </c>
      <c r="B66" s="1" t="s">
        <v>174</v>
      </c>
      <c r="C66" s="4">
        <v>34</v>
      </c>
      <c r="D66" s="8">
        <v>1.26</v>
      </c>
      <c r="E66" s="4">
        <v>6</v>
      </c>
      <c r="F66" s="8">
        <v>0.48</v>
      </c>
      <c r="G66" s="4">
        <v>28</v>
      </c>
      <c r="H66" s="8">
        <v>1.92</v>
      </c>
      <c r="I66" s="4">
        <v>0</v>
      </c>
    </row>
    <row r="67" spans="1:9" x14ac:dyDescent="0.2">
      <c r="A67" s="2">
        <v>20</v>
      </c>
      <c r="B67" s="1" t="s">
        <v>172</v>
      </c>
      <c r="C67" s="4">
        <v>34</v>
      </c>
      <c r="D67" s="8">
        <v>1.26</v>
      </c>
      <c r="E67" s="4">
        <v>10</v>
      </c>
      <c r="F67" s="8">
        <v>0.81</v>
      </c>
      <c r="G67" s="4">
        <v>24</v>
      </c>
      <c r="H67" s="8">
        <v>1.65</v>
      </c>
      <c r="I67" s="4">
        <v>0</v>
      </c>
    </row>
    <row r="68" spans="1:9" x14ac:dyDescent="0.2">
      <c r="A68" s="1"/>
      <c r="C68" s="4"/>
      <c r="D68" s="8"/>
      <c r="E68" s="4"/>
      <c r="F68" s="8"/>
      <c r="G68" s="4"/>
      <c r="H68" s="8"/>
      <c r="I68" s="4"/>
    </row>
    <row r="69" spans="1:9" x14ac:dyDescent="0.2">
      <c r="A69" s="1" t="s">
        <v>3</v>
      </c>
      <c r="C69" s="4"/>
      <c r="D69" s="8"/>
      <c r="E69" s="4"/>
      <c r="F69" s="8"/>
      <c r="G69" s="4"/>
      <c r="H69" s="8"/>
      <c r="I69" s="4"/>
    </row>
    <row r="70" spans="1:9" x14ac:dyDescent="0.2">
      <c r="A70" s="2">
        <v>1</v>
      </c>
      <c r="B70" s="1" t="s">
        <v>160</v>
      </c>
      <c r="C70" s="4">
        <v>138</v>
      </c>
      <c r="D70" s="8">
        <v>5.36</v>
      </c>
      <c r="E70" s="4">
        <v>54</v>
      </c>
      <c r="F70" s="8">
        <v>4.9800000000000004</v>
      </c>
      <c r="G70" s="4">
        <v>84</v>
      </c>
      <c r="H70" s="8">
        <v>5.68</v>
      </c>
      <c r="I70" s="4">
        <v>0</v>
      </c>
    </row>
    <row r="71" spans="1:9" x14ac:dyDescent="0.2">
      <c r="A71" s="2">
        <v>2</v>
      </c>
      <c r="B71" s="1" t="s">
        <v>164</v>
      </c>
      <c r="C71" s="4">
        <v>126</v>
      </c>
      <c r="D71" s="8">
        <v>4.8899999999999997</v>
      </c>
      <c r="E71" s="4">
        <v>100</v>
      </c>
      <c r="F71" s="8">
        <v>9.23</v>
      </c>
      <c r="G71" s="4">
        <v>26</v>
      </c>
      <c r="H71" s="8">
        <v>1.76</v>
      </c>
      <c r="I71" s="4">
        <v>0</v>
      </c>
    </row>
    <row r="72" spans="1:9" x14ac:dyDescent="0.2">
      <c r="A72" s="2">
        <v>3</v>
      </c>
      <c r="B72" s="1" t="s">
        <v>165</v>
      </c>
      <c r="C72" s="4">
        <v>119</v>
      </c>
      <c r="D72" s="8">
        <v>4.62</v>
      </c>
      <c r="E72" s="4">
        <v>99</v>
      </c>
      <c r="F72" s="8">
        <v>9.1300000000000008</v>
      </c>
      <c r="G72" s="4">
        <v>20</v>
      </c>
      <c r="H72" s="8">
        <v>1.35</v>
      </c>
      <c r="I72" s="4">
        <v>0</v>
      </c>
    </row>
    <row r="73" spans="1:9" x14ac:dyDescent="0.2">
      <c r="A73" s="2">
        <v>4</v>
      </c>
      <c r="B73" s="1" t="s">
        <v>177</v>
      </c>
      <c r="C73" s="4">
        <v>106</v>
      </c>
      <c r="D73" s="8">
        <v>4.1100000000000003</v>
      </c>
      <c r="E73" s="4">
        <v>18</v>
      </c>
      <c r="F73" s="8">
        <v>1.66</v>
      </c>
      <c r="G73" s="4">
        <v>87</v>
      </c>
      <c r="H73" s="8">
        <v>5.88</v>
      </c>
      <c r="I73" s="4">
        <v>1</v>
      </c>
    </row>
    <row r="74" spans="1:9" x14ac:dyDescent="0.2">
      <c r="A74" s="2">
        <v>5</v>
      </c>
      <c r="B74" s="1" t="s">
        <v>171</v>
      </c>
      <c r="C74" s="4">
        <v>70</v>
      </c>
      <c r="D74" s="8">
        <v>2.72</v>
      </c>
      <c r="E74" s="4">
        <v>59</v>
      </c>
      <c r="F74" s="8">
        <v>5.44</v>
      </c>
      <c r="G74" s="4">
        <v>11</v>
      </c>
      <c r="H74" s="8">
        <v>0.74</v>
      </c>
      <c r="I74" s="4">
        <v>0</v>
      </c>
    </row>
    <row r="75" spans="1:9" x14ac:dyDescent="0.2">
      <c r="A75" s="2">
        <v>6</v>
      </c>
      <c r="B75" s="1" t="s">
        <v>169</v>
      </c>
      <c r="C75" s="4">
        <v>68</v>
      </c>
      <c r="D75" s="8">
        <v>2.64</v>
      </c>
      <c r="E75" s="4">
        <v>60</v>
      </c>
      <c r="F75" s="8">
        <v>5.54</v>
      </c>
      <c r="G75" s="4">
        <v>8</v>
      </c>
      <c r="H75" s="8">
        <v>0.54</v>
      </c>
      <c r="I75" s="4">
        <v>0</v>
      </c>
    </row>
    <row r="76" spans="1:9" x14ac:dyDescent="0.2">
      <c r="A76" s="2">
        <v>7</v>
      </c>
      <c r="B76" s="1" t="s">
        <v>159</v>
      </c>
      <c r="C76" s="4">
        <v>62</v>
      </c>
      <c r="D76" s="8">
        <v>2.41</v>
      </c>
      <c r="E76" s="4">
        <v>14</v>
      </c>
      <c r="F76" s="8">
        <v>1.29</v>
      </c>
      <c r="G76" s="4">
        <v>47</v>
      </c>
      <c r="H76" s="8">
        <v>3.18</v>
      </c>
      <c r="I76" s="4">
        <v>1</v>
      </c>
    </row>
    <row r="77" spans="1:9" x14ac:dyDescent="0.2">
      <c r="A77" s="2">
        <v>8</v>
      </c>
      <c r="B77" s="1" t="s">
        <v>178</v>
      </c>
      <c r="C77" s="4">
        <v>53</v>
      </c>
      <c r="D77" s="8">
        <v>2.06</v>
      </c>
      <c r="E77" s="4">
        <v>5</v>
      </c>
      <c r="F77" s="8">
        <v>0.46</v>
      </c>
      <c r="G77" s="4">
        <v>48</v>
      </c>
      <c r="H77" s="8">
        <v>3.24</v>
      </c>
      <c r="I77" s="4">
        <v>0</v>
      </c>
    </row>
    <row r="78" spans="1:9" x14ac:dyDescent="0.2">
      <c r="A78" s="2">
        <v>9</v>
      </c>
      <c r="B78" s="1" t="s">
        <v>167</v>
      </c>
      <c r="C78" s="4">
        <v>52</v>
      </c>
      <c r="D78" s="8">
        <v>2.02</v>
      </c>
      <c r="E78" s="4">
        <v>48</v>
      </c>
      <c r="F78" s="8">
        <v>4.43</v>
      </c>
      <c r="G78" s="4">
        <v>4</v>
      </c>
      <c r="H78" s="8">
        <v>0.27</v>
      </c>
      <c r="I78" s="4">
        <v>0</v>
      </c>
    </row>
    <row r="79" spans="1:9" x14ac:dyDescent="0.2">
      <c r="A79" s="2">
        <v>10</v>
      </c>
      <c r="B79" s="1" t="s">
        <v>166</v>
      </c>
      <c r="C79" s="4">
        <v>49</v>
      </c>
      <c r="D79" s="8">
        <v>1.9</v>
      </c>
      <c r="E79" s="4">
        <v>46</v>
      </c>
      <c r="F79" s="8">
        <v>4.24</v>
      </c>
      <c r="G79" s="4">
        <v>3</v>
      </c>
      <c r="H79" s="8">
        <v>0.2</v>
      </c>
      <c r="I79" s="4">
        <v>0</v>
      </c>
    </row>
    <row r="80" spans="1:9" x14ac:dyDescent="0.2">
      <c r="A80" s="2">
        <v>10</v>
      </c>
      <c r="B80" s="1" t="s">
        <v>170</v>
      </c>
      <c r="C80" s="4">
        <v>49</v>
      </c>
      <c r="D80" s="8">
        <v>1.9</v>
      </c>
      <c r="E80" s="4">
        <v>34</v>
      </c>
      <c r="F80" s="8">
        <v>3.14</v>
      </c>
      <c r="G80" s="4">
        <v>15</v>
      </c>
      <c r="H80" s="8">
        <v>1.01</v>
      </c>
      <c r="I80" s="4">
        <v>0</v>
      </c>
    </row>
    <row r="81" spans="1:9" x14ac:dyDescent="0.2">
      <c r="A81" s="2">
        <v>12</v>
      </c>
      <c r="B81" s="1" t="s">
        <v>158</v>
      </c>
      <c r="C81" s="4">
        <v>43</v>
      </c>
      <c r="D81" s="8">
        <v>1.67</v>
      </c>
      <c r="E81" s="4">
        <v>7</v>
      </c>
      <c r="F81" s="8">
        <v>0.65</v>
      </c>
      <c r="G81" s="4">
        <v>36</v>
      </c>
      <c r="H81" s="8">
        <v>2.4300000000000002</v>
      </c>
      <c r="I81" s="4">
        <v>0</v>
      </c>
    </row>
    <row r="82" spans="1:9" x14ac:dyDescent="0.2">
      <c r="A82" s="2">
        <v>12</v>
      </c>
      <c r="B82" s="1" t="s">
        <v>163</v>
      </c>
      <c r="C82" s="4">
        <v>43</v>
      </c>
      <c r="D82" s="8">
        <v>1.67</v>
      </c>
      <c r="E82" s="4">
        <v>42</v>
      </c>
      <c r="F82" s="8">
        <v>3.87</v>
      </c>
      <c r="G82" s="4">
        <v>1</v>
      </c>
      <c r="H82" s="8">
        <v>7.0000000000000007E-2</v>
      </c>
      <c r="I82" s="4">
        <v>0</v>
      </c>
    </row>
    <row r="83" spans="1:9" x14ac:dyDescent="0.2">
      <c r="A83" s="2">
        <v>14</v>
      </c>
      <c r="B83" s="1" t="s">
        <v>168</v>
      </c>
      <c r="C83" s="4">
        <v>39</v>
      </c>
      <c r="D83" s="8">
        <v>1.51</v>
      </c>
      <c r="E83" s="4">
        <v>33</v>
      </c>
      <c r="F83" s="8">
        <v>3.04</v>
      </c>
      <c r="G83" s="4">
        <v>6</v>
      </c>
      <c r="H83" s="8">
        <v>0.41</v>
      </c>
      <c r="I83" s="4">
        <v>0</v>
      </c>
    </row>
    <row r="84" spans="1:9" x14ac:dyDescent="0.2">
      <c r="A84" s="2">
        <v>15</v>
      </c>
      <c r="B84" s="1" t="s">
        <v>161</v>
      </c>
      <c r="C84" s="4">
        <v>36</v>
      </c>
      <c r="D84" s="8">
        <v>1.4</v>
      </c>
      <c r="E84" s="4">
        <v>22</v>
      </c>
      <c r="F84" s="8">
        <v>2.0299999999999998</v>
      </c>
      <c r="G84" s="4">
        <v>14</v>
      </c>
      <c r="H84" s="8">
        <v>0.95</v>
      </c>
      <c r="I84" s="4">
        <v>0</v>
      </c>
    </row>
    <row r="85" spans="1:9" x14ac:dyDescent="0.2">
      <c r="A85" s="2">
        <v>16</v>
      </c>
      <c r="B85" s="1" t="s">
        <v>175</v>
      </c>
      <c r="C85" s="4">
        <v>35</v>
      </c>
      <c r="D85" s="8">
        <v>1.36</v>
      </c>
      <c r="E85" s="4">
        <v>6</v>
      </c>
      <c r="F85" s="8">
        <v>0.55000000000000004</v>
      </c>
      <c r="G85" s="4">
        <v>29</v>
      </c>
      <c r="H85" s="8">
        <v>1.96</v>
      </c>
      <c r="I85" s="4">
        <v>0</v>
      </c>
    </row>
    <row r="86" spans="1:9" x14ac:dyDescent="0.2">
      <c r="A86" s="2">
        <v>17</v>
      </c>
      <c r="B86" s="1" t="s">
        <v>157</v>
      </c>
      <c r="C86" s="4">
        <v>34</v>
      </c>
      <c r="D86" s="8">
        <v>1.32</v>
      </c>
      <c r="E86" s="4">
        <v>24</v>
      </c>
      <c r="F86" s="8">
        <v>2.21</v>
      </c>
      <c r="G86" s="4">
        <v>10</v>
      </c>
      <c r="H86" s="8">
        <v>0.68</v>
      </c>
      <c r="I86" s="4">
        <v>0</v>
      </c>
    </row>
    <row r="87" spans="1:9" x14ac:dyDescent="0.2">
      <c r="A87" s="2">
        <v>17</v>
      </c>
      <c r="B87" s="1" t="s">
        <v>172</v>
      </c>
      <c r="C87" s="4">
        <v>34</v>
      </c>
      <c r="D87" s="8">
        <v>1.32</v>
      </c>
      <c r="E87" s="4">
        <v>9</v>
      </c>
      <c r="F87" s="8">
        <v>0.83</v>
      </c>
      <c r="G87" s="4">
        <v>24</v>
      </c>
      <c r="H87" s="8">
        <v>1.62</v>
      </c>
      <c r="I87" s="4">
        <v>0</v>
      </c>
    </row>
    <row r="88" spans="1:9" x14ac:dyDescent="0.2">
      <c r="A88" s="2">
        <v>19</v>
      </c>
      <c r="B88" s="1" t="s">
        <v>179</v>
      </c>
      <c r="C88" s="4">
        <v>31</v>
      </c>
      <c r="D88" s="8">
        <v>1.2</v>
      </c>
      <c r="E88" s="4">
        <v>4</v>
      </c>
      <c r="F88" s="8">
        <v>0.37</v>
      </c>
      <c r="G88" s="4">
        <v>27</v>
      </c>
      <c r="H88" s="8">
        <v>1.82</v>
      </c>
      <c r="I88" s="4">
        <v>0</v>
      </c>
    </row>
    <row r="89" spans="1:9" x14ac:dyDescent="0.2">
      <c r="A89" s="2">
        <v>19</v>
      </c>
      <c r="B89" s="1" t="s">
        <v>180</v>
      </c>
      <c r="C89" s="4">
        <v>31</v>
      </c>
      <c r="D89" s="8">
        <v>1.2</v>
      </c>
      <c r="E89" s="4">
        <v>4</v>
      </c>
      <c r="F89" s="8">
        <v>0.37</v>
      </c>
      <c r="G89" s="4">
        <v>27</v>
      </c>
      <c r="H89" s="8">
        <v>1.82</v>
      </c>
      <c r="I89" s="4">
        <v>0</v>
      </c>
    </row>
    <row r="90" spans="1:9" x14ac:dyDescent="0.2">
      <c r="A90" s="1"/>
      <c r="C90" s="4"/>
      <c r="D90" s="8"/>
      <c r="E90" s="4"/>
      <c r="F90" s="8"/>
      <c r="G90" s="4"/>
      <c r="H90" s="8"/>
      <c r="I90" s="4"/>
    </row>
    <row r="91" spans="1:9" x14ac:dyDescent="0.2">
      <c r="A91" s="1" t="s">
        <v>4</v>
      </c>
      <c r="C91" s="4"/>
      <c r="D91" s="8"/>
      <c r="E91" s="4"/>
      <c r="F91" s="8"/>
      <c r="G91" s="4"/>
      <c r="H91" s="8"/>
      <c r="I91" s="4"/>
    </row>
    <row r="92" spans="1:9" x14ac:dyDescent="0.2">
      <c r="A92" s="2">
        <v>1</v>
      </c>
      <c r="B92" s="1" t="s">
        <v>160</v>
      </c>
      <c r="C92" s="4">
        <v>68</v>
      </c>
      <c r="D92" s="8">
        <v>4.91</v>
      </c>
      <c r="E92" s="4">
        <v>38</v>
      </c>
      <c r="F92" s="8">
        <v>5.28</v>
      </c>
      <c r="G92" s="4">
        <v>30</v>
      </c>
      <c r="H92" s="8">
        <v>4.5199999999999996</v>
      </c>
      <c r="I92" s="4">
        <v>0</v>
      </c>
    </row>
    <row r="93" spans="1:9" x14ac:dyDescent="0.2">
      <c r="A93" s="2">
        <v>2</v>
      </c>
      <c r="B93" s="1" t="s">
        <v>165</v>
      </c>
      <c r="C93" s="4">
        <v>62</v>
      </c>
      <c r="D93" s="8">
        <v>4.47</v>
      </c>
      <c r="E93" s="4">
        <v>55</v>
      </c>
      <c r="F93" s="8">
        <v>7.64</v>
      </c>
      <c r="G93" s="4">
        <v>7</v>
      </c>
      <c r="H93" s="8">
        <v>1.06</v>
      </c>
      <c r="I93" s="4">
        <v>0</v>
      </c>
    </row>
    <row r="94" spans="1:9" x14ac:dyDescent="0.2">
      <c r="A94" s="2">
        <v>3</v>
      </c>
      <c r="B94" s="1" t="s">
        <v>169</v>
      </c>
      <c r="C94" s="4">
        <v>54</v>
      </c>
      <c r="D94" s="8">
        <v>3.9</v>
      </c>
      <c r="E94" s="4">
        <v>46</v>
      </c>
      <c r="F94" s="8">
        <v>6.39</v>
      </c>
      <c r="G94" s="4">
        <v>8</v>
      </c>
      <c r="H94" s="8">
        <v>1.21</v>
      </c>
      <c r="I94" s="4">
        <v>0</v>
      </c>
    </row>
    <row r="95" spans="1:9" x14ac:dyDescent="0.2">
      <c r="A95" s="2">
        <v>4</v>
      </c>
      <c r="B95" s="1" t="s">
        <v>167</v>
      </c>
      <c r="C95" s="4">
        <v>45</v>
      </c>
      <c r="D95" s="8">
        <v>3.25</v>
      </c>
      <c r="E95" s="4">
        <v>45</v>
      </c>
      <c r="F95" s="8">
        <v>6.25</v>
      </c>
      <c r="G95" s="4">
        <v>0</v>
      </c>
      <c r="H95" s="8">
        <v>0</v>
      </c>
      <c r="I95" s="4">
        <v>0</v>
      </c>
    </row>
    <row r="96" spans="1:9" x14ac:dyDescent="0.2">
      <c r="A96" s="2">
        <v>5</v>
      </c>
      <c r="B96" s="1" t="s">
        <v>156</v>
      </c>
      <c r="C96" s="4">
        <v>35</v>
      </c>
      <c r="D96" s="8">
        <v>2.5299999999999998</v>
      </c>
      <c r="E96" s="4">
        <v>27</v>
      </c>
      <c r="F96" s="8">
        <v>3.75</v>
      </c>
      <c r="G96" s="4">
        <v>8</v>
      </c>
      <c r="H96" s="8">
        <v>1.21</v>
      </c>
      <c r="I96" s="4">
        <v>0</v>
      </c>
    </row>
    <row r="97" spans="1:9" x14ac:dyDescent="0.2">
      <c r="A97" s="2">
        <v>6</v>
      </c>
      <c r="B97" s="1" t="s">
        <v>164</v>
      </c>
      <c r="C97" s="4">
        <v>34</v>
      </c>
      <c r="D97" s="8">
        <v>2.4500000000000002</v>
      </c>
      <c r="E97" s="4">
        <v>25</v>
      </c>
      <c r="F97" s="8">
        <v>3.47</v>
      </c>
      <c r="G97" s="4">
        <v>9</v>
      </c>
      <c r="H97" s="8">
        <v>1.36</v>
      </c>
      <c r="I97" s="4">
        <v>0</v>
      </c>
    </row>
    <row r="98" spans="1:9" x14ac:dyDescent="0.2">
      <c r="A98" s="2">
        <v>7</v>
      </c>
      <c r="B98" s="1" t="s">
        <v>171</v>
      </c>
      <c r="C98" s="4">
        <v>33</v>
      </c>
      <c r="D98" s="8">
        <v>2.38</v>
      </c>
      <c r="E98" s="4">
        <v>26</v>
      </c>
      <c r="F98" s="8">
        <v>3.61</v>
      </c>
      <c r="G98" s="4">
        <v>7</v>
      </c>
      <c r="H98" s="8">
        <v>1.06</v>
      </c>
      <c r="I98" s="4">
        <v>0</v>
      </c>
    </row>
    <row r="99" spans="1:9" x14ac:dyDescent="0.2">
      <c r="A99" s="2">
        <v>8</v>
      </c>
      <c r="B99" s="1" t="s">
        <v>161</v>
      </c>
      <c r="C99" s="4">
        <v>32</v>
      </c>
      <c r="D99" s="8">
        <v>2.31</v>
      </c>
      <c r="E99" s="4">
        <v>26</v>
      </c>
      <c r="F99" s="8">
        <v>3.61</v>
      </c>
      <c r="G99" s="4">
        <v>6</v>
      </c>
      <c r="H99" s="8">
        <v>0.9</v>
      </c>
      <c r="I99" s="4">
        <v>0</v>
      </c>
    </row>
    <row r="100" spans="1:9" x14ac:dyDescent="0.2">
      <c r="A100" s="2">
        <v>9</v>
      </c>
      <c r="B100" s="1" t="s">
        <v>166</v>
      </c>
      <c r="C100" s="4">
        <v>27</v>
      </c>
      <c r="D100" s="8">
        <v>1.95</v>
      </c>
      <c r="E100" s="4">
        <v>27</v>
      </c>
      <c r="F100" s="8">
        <v>3.75</v>
      </c>
      <c r="G100" s="4">
        <v>0</v>
      </c>
      <c r="H100" s="8">
        <v>0</v>
      </c>
      <c r="I100" s="4">
        <v>0</v>
      </c>
    </row>
    <row r="101" spans="1:9" x14ac:dyDescent="0.2">
      <c r="A101" s="2">
        <v>10</v>
      </c>
      <c r="B101" s="1" t="s">
        <v>152</v>
      </c>
      <c r="C101" s="4">
        <v>26</v>
      </c>
      <c r="D101" s="8">
        <v>1.88</v>
      </c>
      <c r="E101" s="4">
        <v>4</v>
      </c>
      <c r="F101" s="8">
        <v>0.56000000000000005</v>
      </c>
      <c r="G101" s="4">
        <v>22</v>
      </c>
      <c r="H101" s="8">
        <v>3.32</v>
      </c>
      <c r="I101" s="4">
        <v>0</v>
      </c>
    </row>
    <row r="102" spans="1:9" x14ac:dyDescent="0.2">
      <c r="A102" s="2">
        <v>10</v>
      </c>
      <c r="B102" s="1" t="s">
        <v>168</v>
      </c>
      <c r="C102" s="4">
        <v>26</v>
      </c>
      <c r="D102" s="8">
        <v>1.88</v>
      </c>
      <c r="E102" s="4">
        <v>26</v>
      </c>
      <c r="F102" s="8">
        <v>3.61</v>
      </c>
      <c r="G102" s="4">
        <v>0</v>
      </c>
      <c r="H102" s="8">
        <v>0</v>
      </c>
      <c r="I102" s="4">
        <v>0</v>
      </c>
    </row>
    <row r="103" spans="1:9" x14ac:dyDescent="0.2">
      <c r="A103" s="2">
        <v>12</v>
      </c>
      <c r="B103" s="1" t="s">
        <v>157</v>
      </c>
      <c r="C103" s="4">
        <v>25</v>
      </c>
      <c r="D103" s="8">
        <v>1.8</v>
      </c>
      <c r="E103" s="4">
        <v>20</v>
      </c>
      <c r="F103" s="8">
        <v>2.78</v>
      </c>
      <c r="G103" s="4">
        <v>5</v>
      </c>
      <c r="H103" s="8">
        <v>0.75</v>
      </c>
      <c r="I103" s="4">
        <v>0</v>
      </c>
    </row>
    <row r="104" spans="1:9" x14ac:dyDescent="0.2">
      <c r="A104" s="2">
        <v>12</v>
      </c>
      <c r="B104" s="1" t="s">
        <v>183</v>
      </c>
      <c r="C104" s="4">
        <v>25</v>
      </c>
      <c r="D104" s="8">
        <v>1.8</v>
      </c>
      <c r="E104" s="4">
        <v>25</v>
      </c>
      <c r="F104" s="8">
        <v>3.47</v>
      </c>
      <c r="G104" s="4">
        <v>0</v>
      </c>
      <c r="H104" s="8">
        <v>0</v>
      </c>
      <c r="I104" s="4">
        <v>0</v>
      </c>
    </row>
    <row r="105" spans="1:9" x14ac:dyDescent="0.2">
      <c r="A105" s="2">
        <v>14</v>
      </c>
      <c r="B105" s="1" t="s">
        <v>174</v>
      </c>
      <c r="C105" s="4">
        <v>23</v>
      </c>
      <c r="D105" s="8">
        <v>1.66</v>
      </c>
      <c r="E105" s="4">
        <v>6</v>
      </c>
      <c r="F105" s="8">
        <v>0.83</v>
      </c>
      <c r="G105" s="4">
        <v>17</v>
      </c>
      <c r="H105" s="8">
        <v>2.56</v>
      </c>
      <c r="I105" s="4">
        <v>0</v>
      </c>
    </row>
    <row r="106" spans="1:9" x14ac:dyDescent="0.2">
      <c r="A106" s="2">
        <v>14</v>
      </c>
      <c r="B106" s="1" t="s">
        <v>170</v>
      </c>
      <c r="C106" s="4">
        <v>23</v>
      </c>
      <c r="D106" s="8">
        <v>1.66</v>
      </c>
      <c r="E106" s="4">
        <v>21</v>
      </c>
      <c r="F106" s="8">
        <v>2.92</v>
      </c>
      <c r="G106" s="4">
        <v>2</v>
      </c>
      <c r="H106" s="8">
        <v>0.3</v>
      </c>
      <c r="I106" s="4">
        <v>0</v>
      </c>
    </row>
    <row r="107" spans="1:9" x14ac:dyDescent="0.2">
      <c r="A107" s="2">
        <v>16</v>
      </c>
      <c r="B107" s="1" t="s">
        <v>153</v>
      </c>
      <c r="C107" s="4">
        <v>21</v>
      </c>
      <c r="D107" s="8">
        <v>1.52</v>
      </c>
      <c r="E107" s="4">
        <v>2</v>
      </c>
      <c r="F107" s="8">
        <v>0.28000000000000003</v>
      </c>
      <c r="G107" s="4">
        <v>19</v>
      </c>
      <c r="H107" s="8">
        <v>2.87</v>
      </c>
      <c r="I107" s="4">
        <v>0</v>
      </c>
    </row>
    <row r="108" spans="1:9" x14ac:dyDescent="0.2">
      <c r="A108" s="2">
        <v>16</v>
      </c>
      <c r="B108" s="1" t="s">
        <v>159</v>
      </c>
      <c r="C108" s="4">
        <v>21</v>
      </c>
      <c r="D108" s="8">
        <v>1.52</v>
      </c>
      <c r="E108" s="4">
        <v>6</v>
      </c>
      <c r="F108" s="8">
        <v>0.83</v>
      </c>
      <c r="G108" s="4">
        <v>15</v>
      </c>
      <c r="H108" s="8">
        <v>2.2599999999999998</v>
      </c>
      <c r="I108" s="4">
        <v>0</v>
      </c>
    </row>
    <row r="109" spans="1:9" x14ac:dyDescent="0.2">
      <c r="A109" s="2">
        <v>18</v>
      </c>
      <c r="B109" s="1" t="s">
        <v>173</v>
      </c>
      <c r="C109" s="4">
        <v>19</v>
      </c>
      <c r="D109" s="8">
        <v>1.37</v>
      </c>
      <c r="E109" s="4">
        <v>2</v>
      </c>
      <c r="F109" s="8">
        <v>0.28000000000000003</v>
      </c>
      <c r="G109" s="4">
        <v>16</v>
      </c>
      <c r="H109" s="8">
        <v>2.41</v>
      </c>
      <c r="I109" s="4">
        <v>1</v>
      </c>
    </row>
    <row r="110" spans="1:9" x14ac:dyDescent="0.2">
      <c r="A110" s="2">
        <v>19</v>
      </c>
      <c r="B110" s="1" t="s">
        <v>182</v>
      </c>
      <c r="C110" s="4">
        <v>16</v>
      </c>
      <c r="D110" s="8">
        <v>1.1499999999999999</v>
      </c>
      <c r="E110" s="4">
        <v>10</v>
      </c>
      <c r="F110" s="8">
        <v>1.39</v>
      </c>
      <c r="G110" s="4">
        <v>6</v>
      </c>
      <c r="H110" s="8">
        <v>0.9</v>
      </c>
      <c r="I110" s="4">
        <v>0</v>
      </c>
    </row>
    <row r="111" spans="1:9" x14ac:dyDescent="0.2">
      <c r="A111" s="2">
        <v>20</v>
      </c>
      <c r="B111" s="1" t="s">
        <v>181</v>
      </c>
      <c r="C111" s="4">
        <v>15</v>
      </c>
      <c r="D111" s="8">
        <v>1.08</v>
      </c>
      <c r="E111" s="4">
        <v>13</v>
      </c>
      <c r="F111" s="8">
        <v>1.81</v>
      </c>
      <c r="G111" s="4">
        <v>2</v>
      </c>
      <c r="H111" s="8">
        <v>0.3</v>
      </c>
      <c r="I111" s="4">
        <v>0</v>
      </c>
    </row>
    <row r="112" spans="1:9" x14ac:dyDescent="0.2">
      <c r="A112" s="1"/>
      <c r="C112" s="4"/>
      <c r="D112" s="8"/>
      <c r="E112" s="4"/>
      <c r="F112" s="8"/>
      <c r="G112" s="4"/>
      <c r="H112" s="8"/>
      <c r="I112" s="4"/>
    </row>
    <row r="113" spans="1:9" x14ac:dyDescent="0.2">
      <c r="A113" s="1" t="s">
        <v>5</v>
      </c>
      <c r="C113" s="4"/>
      <c r="D113" s="8"/>
      <c r="E113" s="4"/>
      <c r="F113" s="8"/>
      <c r="G113" s="4"/>
      <c r="H113" s="8"/>
      <c r="I113" s="4"/>
    </row>
    <row r="114" spans="1:9" x14ac:dyDescent="0.2">
      <c r="A114" s="2">
        <v>1</v>
      </c>
      <c r="B114" s="1" t="s">
        <v>164</v>
      </c>
      <c r="C114" s="4">
        <v>215</v>
      </c>
      <c r="D114" s="8">
        <v>3.73</v>
      </c>
      <c r="E114" s="4">
        <v>176</v>
      </c>
      <c r="F114" s="8">
        <v>10.15</v>
      </c>
      <c r="G114" s="4">
        <v>39</v>
      </c>
      <c r="H114" s="8">
        <v>0.97</v>
      </c>
      <c r="I114" s="4">
        <v>0</v>
      </c>
    </row>
    <row r="115" spans="1:9" x14ac:dyDescent="0.2">
      <c r="A115" s="2">
        <v>2</v>
      </c>
      <c r="B115" s="1" t="s">
        <v>160</v>
      </c>
      <c r="C115" s="4">
        <v>200</v>
      </c>
      <c r="D115" s="8">
        <v>3.47</v>
      </c>
      <c r="E115" s="4">
        <v>24</v>
      </c>
      <c r="F115" s="8">
        <v>1.38</v>
      </c>
      <c r="G115" s="4">
        <v>176</v>
      </c>
      <c r="H115" s="8">
        <v>4.38</v>
      </c>
      <c r="I115" s="4">
        <v>0</v>
      </c>
    </row>
    <row r="116" spans="1:9" x14ac:dyDescent="0.2">
      <c r="A116" s="2">
        <v>3</v>
      </c>
      <c r="B116" s="1" t="s">
        <v>172</v>
      </c>
      <c r="C116" s="4">
        <v>190</v>
      </c>
      <c r="D116" s="8">
        <v>3.3</v>
      </c>
      <c r="E116" s="4">
        <v>81</v>
      </c>
      <c r="F116" s="8">
        <v>4.67</v>
      </c>
      <c r="G116" s="4">
        <v>109</v>
      </c>
      <c r="H116" s="8">
        <v>2.71</v>
      </c>
      <c r="I116" s="4">
        <v>0</v>
      </c>
    </row>
    <row r="117" spans="1:9" x14ac:dyDescent="0.2">
      <c r="A117" s="2">
        <v>4</v>
      </c>
      <c r="B117" s="1" t="s">
        <v>159</v>
      </c>
      <c r="C117" s="4">
        <v>181</v>
      </c>
      <c r="D117" s="8">
        <v>3.14</v>
      </c>
      <c r="E117" s="4">
        <v>8</v>
      </c>
      <c r="F117" s="8">
        <v>0.46</v>
      </c>
      <c r="G117" s="4">
        <v>173</v>
      </c>
      <c r="H117" s="8">
        <v>4.3</v>
      </c>
      <c r="I117" s="4">
        <v>0</v>
      </c>
    </row>
    <row r="118" spans="1:9" x14ac:dyDescent="0.2">
      <c r="A118" s="2">
        <v>5</v>
      </c>
      <c r="B118" s="1" t="s">
        <v>154</v>
      </c>
      <c r="C118" s="4">
        <v>152</v>
      </c>
      <c r="D118" s="8">
        <v>2.64</v>
      </c>
      <c r="E118" s="4">
        <v>14</v>
      </c>
      <c r="F118" s="8">
        <v>0.81</v>
      </c>
      <c r="G118" s="4">
        <v>138</v>
      </c>
      <c r="H118" s="8">
        <v>3.43</v>
      </c>
      <c r="I118" s="4">
        <v>0</v>
      </c>
    </row>
    <row r="119" spans="1:9" x14ac:dyDescent="0.2">
      <c r="A119" s="2">
        <v>6</v>
      </c>
      <c r="B119" s="1" t="s">
        <v>179</v>
      </c>
      <c r="C119" s="4">
        <v>140</v>
      </c>
      <c r="D119" s="8">
        <v>2.4300000000000002</v>
      </c>
      <c r="E119" s="4">
        <v>11</v>
      </c>
      <c r="F119" s="8">
        <v>0.63</v>
      </c>
      <c r="G119" s="4">
        <v>129</v>
      </c>
      <c r="H119" s="8">
        <v>3.21</v>
      </c>
      <c r="I119" s="4">
        <v>0</v>
      </c>
    </row>
    <row r="120" spans="1:9" x14ac:dyDescent="0.2">
      <c r="A120" s="2">
        <v>7</v>
      </c>
      <c r="B120" s="1" t="s">
        <v>187</v>
      </c>
      <c r="C120" s="4">
        <v>139</v>
      </c>
      <c r="D120" s="8">
        <v>2.41</v>
      </c>
      <c r="E120" s="4">
        <v>57</v>
      </c>
      <c r="F120" s="8">
        <v>3.29</v>
      </c>
      <c r="G120" s="4">
        <v>82</v>
      </c>
      <c r="H120" s="8">
        <v>2.04</v>
      </c>
      <c r="I120" s="4">
        <v>0</v>
      </c>
    </row>
    <row r="121" spans="1:9" x14ac:dyDescent="0.2">
      <c r="A121" s="2">
        <v>8</v>
      </c>
      <c r="B121" s="1" t="s">
        <v>173</v>
      </c>
      <c r="C121" s="4">
        <v>129</v>
      </c>
      <c r="D121" s="8">
        <v>2.2400000000000002</v>
      </c>
      <c r="E121" s="4">
        <v>4</v>
      </c>
      <c r="F121" s="8">
        <v>0.23</v>
      </c>
      <c r="G121" s="4">
        <v>124</v>
      </c>
      <c r="H121" s="8">
        <v>3.09</v>
      </c>
      <c r="I121" s="4">
        <v>1</v>
      </c>
    </row>
    <row r="122" spans="1:9" x14ac:dyDescent="0.2">
      <c r="A122" s="2">
        <v>9</v>
      </c>
      <c r="B122" s="1" t="s">
        <v>169</v>
      </c>
      <c r="C122" s="4">
        <v>122</v>
      </c>
      <c r="D122" s="8">
        <v>2.12</v>
      </c>
      <c r="E122" s="4">
        <v>108</v>
      </c>
      <c r="F122" s="8">
        <v>6.23</v>
      </c>
      <c r="G122" s="4">
        <v>14</v>
      </c>
      <c r="H122" s="8">
        <v>0.35</v>
      </c>
      <c r="I122" s="4">
        <v>0</v>
      </c>
    </row>
    <row r="123" spans="1:9" x14ac:dyDescent="0.2">
      <c r="A123" s="2">
        <v>10</v>
      </c>
      <c r="B123" s="1" t="s">
        <v>163</v>
      </c>
      <c r="C123" s="4">
        <v>115</v>
      </c>
      <c r="D123" s="8">
        <v>2</v>
      </c>
      <c r="E123" s="4">
        <v>105</v>
      </c>
      <c r="F123" s="8">
        <v>6.06</v>
      </c>
      <c r="G123" s="4">
        <v>10</v>
      </c>
      <c r="H123" s="8">
        <v>0.25</v>
      </c>
      <c r="I123" s="4">
        <v>0</v>
      </c>
    </row>
    <row r="124" spans="1:9" x14ac:dyDescent="0.2">
      <c r="A124" s="2">
        <v>11</v>
      </c>
      <c r="B124" s="1" t="s">
        <v>158</v>
      </c>
      <c r="C124" s="4">
        <v>114</v>
      </c>
      <c r="D124" s="8">
        <v>1.98</v>
      </c>
      <c r="E124" s="4">
        <v>10</v>
      </c>
      <c r="F124" s="8">
        <v>0.57999999999999996</v>
      </c>
      <c r="G124" s="4">
        <v>104</v>
      </c>
      <c r="H124" s="8">
        <v>2.59</v>
      </c>
      <c r="I124" s="4">
        <v>0</v>
      </c>
    </row>
    <row r="125" spans="1:9" x14ac:dyDescent="0.2">
      <c r="A125" s="2">
        <v>12</v>
      </c>
      <c r="B125" s="1" t="s">
        <v>165</v>
      </c>
      <c r="C125" s="4">
        <v>105</v>
      </c>
      <c r="D125" s="8">
        <v>1.82</v>
      </c>
      <c r="E125" s="4">
        <v>95</v>
      </c>
      <c r="F125" s="8">
        <v>5.48</v>
      </c>
      <c r="G125" s="4">
        <v>10</v>
      </c>
      <c r="H125" s="8">
        <v>0.25</v>
      </c>
      <c r="I125" s="4">
        <v>0</v>
      </c>
    </row>
    <row r="126" spans="1:9" x14ac:dyDescent="0.2">
      <c r="A126" s="2">
        <v>13</v>
      </c>
      <c r="B126" s="1" t="s">
        <v>184</v>
      </c>
      <c r="C126" s="4">
        <v>98</v>
      </c>
      <c r="D126" s="8">
        <v>1.7</v>
      </c>
      <c r="E126" s="4">
        <v>42</v>
      </c>
      <c r="F126" s="8">
        <v>2.42</v>
      </c>
      <c r="G126" s="4">
        <v>56</v>
      </c>
      <c r="H126" s="8">
        <v>1.39</v>
      </c>
      <c r="I126" s="4">
        <v>0</v>
      </c>
    </row>
    <row r="127" spans="1:9" x14ac:dyDescent="0.2">
      <c r="A127" s="2">
        <v>14</v>
      </c>
      <c r="B127" s="1" t="s">
        <v>167</v>
      </c>
      <c r="C127" s="4">
        <v>91</v>
      </c>
      <c r="D127" s="8">
        <v>1.58</v>
      </c>
      <c r="E127" s="4">
        <v>82</v>
      </c>
      <c r="F127" s="8">
        <v>4.7300000000000004</v>
      </c>
      <c r="G127" s="4">
        <v>9</v>
      </c>
      <c r="H127" s="8">
        <v>0.22</v>
      </c>
      <c r="I127" s="4">
        <v>0</v>
      </c>
    </row>
    <row r="128" spans="1:9" x14ac:dyDescent="0.2">
      <c r="A128" s="2">
        <v>15</v>
      </c>
      <c r="B128" s="1" t="s">
        <v>185</v>
      </c>
      <c r="C128" s="4">
        <v>86</v>
      </c>
      <c r="D128" s="8">
        <v>1.49</v>
      </c>
      <c r="E128" s="4">
        <v>2</v>
      </c>
      <c r="F128" s="8">
        <v>0.12</v>
      </c>
      <c r="G128" s="4">
        <v>84</v>
      </c>
      <c r="H128" s="8">
        <v>2.09</v>
      </c>
      <c r="I128" s="4">
        <v>0</v>
      </c>
    </row>
    <row r="129" spans="1:9" x14ac:dyDescent="0.2">
      <c r="A129" s="2">
        <v>15</v>
      </c>
      <c r="B129" s="1" t="s">
        <v>189</v>
      </c>
      <c r="C129" s="4">
        <v>86</v>
      </c>
      <c r="D129" s="8">
        <v>1.49</v>
      </c>
      <c r="E129" s="4">
        <v>4</v>
      </c>
      <c r="F129" s="8">
        <v>0.23</v>
      </c>
      <c r="G129" s="4">
        <v>82</v>
      </c>
      <c r="H129" s="8">
        <v>2.04</v>
      </c>
      <c r="I129" s="4">
        <v>0</v>
      </c>
    </row>
    <row r="130" spans="1:9" x14ac:dyDescent="0.2">
      <c r="A130" s="2">
        <v>17</v>
      </c>
      <c r="B130" s="1" t="s">
        <v>188</v>
      </c>
      <c r="C130" s="4">
        <v>85</v>
      </c>
      <c r="D130" s="8">
        <v>1.48</v>
      </c>
      <c r="E130" s="4">
        <v>1</v>
      </c>
      <c r="F130" s="8">
        <v>0.06</v>
      </c>
      <c r="G130" s="4">
        <v>84</v>
      </c>
      <c r="H130" s="8">
        <v>2.09</v>
      </c>
      <c r="I130" s="4">
        <v>0</v>
      </c>
    </row>
    <row r="131" spans="1:9" x14ac:dyDescent="0.2">
      <c r="A131" s="2">
        <v>18</v>
      </c>
      <c r="B131" s="1" t="s">
        <v>162</v>
      </c>
      <c r="C131" s="4">
        <v>84</v>
      </c>
      <c r="D131" s="8">
        <v>1.46</v>
      </c>
      <c r="E131" s="4">
        <v>6</v>
      </c>
      <c r="F131" s="8">
        <v>0.35</v>
      </c>
      <c r="G131" s="4">
        <v>78</v>
      </c>
      <c r="H131" s="8">
        <v>1.94</v>
      </c>
      <c r="I131" s="4">
        <v>0</v>
      </c>
    </row>
    <row r="132" spans="1:9" x14ac:dyDescent="0.2">
      <c r="A132" s="2">
        <v>19</v>
      </c>
      <c r="B132" s="1" t="s">
        <v>186</v>
      </c>
      <c r="C132" s="4">
        <v>81</v>
      </c>
      <c r="D132" s="8">
        <v>1.41</v>
      </c>
      <c r="E132" s="4">
        <v>5</v>
      </c>
      <c r="F132" s="8">
        <v>0.28999999999999998</v>
      </c>
      <c r="G132" s="4">
        <v>76</v>
      </c>
      <c r="H132" s="8">
        <v>1.89</v>
      </c>
      <c r="I132" s="4">
        <v>0</v>
      </c>
    </row>
    <row r="133" spans="1:9" x14ac:dyDescent="0.2">
      <c r="A133" s="2">
        <v>20</v>
      </c>
      <c r="B133" s="1" t="s">
        <v>157</v>
      </c>
      <c r="C133" s="4">
        <v>77</v>
      </c>
      <c r="D133" s="8">
        <v>1.34</v>
      </c>
      <c r="E133" s="4">
        <v>40</v>
      </c>
      <c r="F133" s="8">
        <v>2.31</v>
      </c>
      <c r="G133" s="4">
        <v>37</v>
      </c>
      <c r="H133" s="8">
        <v>0.92</v>
      </c>
      <c r="I133" s="4">
        <v>0</v>
      </c>
    </row>
    <row r="134" spans="1:9" x14ac:dyDescent="0.2">
      <c r="A134" s="1"/>
      <c r="C134" s="4"/>
      <c r="D134" s="8"/>
      <c r="E134" s="4"/>
      <c r="F134" s="8"/>
      <c r="G134" s="4"/>
      <c r="H134" s="8"/>
      <c r="I134" s="4"/>
    </row>
    <row r="135" spans="1:9" x14ac:dyDescent="0.2">
      <c r="A135" s="1" t="s">
        <v>6</v>
      </c>
      <c r="C135" s="4"/>
      <c r="D135" s="8"/>
      <c r="E135" s="4"/>
      <c r="F135" s="8"/>
      <c r="G135" s="4"/>
      <c r="H135" s="8"/>
      <c r="I135" s="4"/>
    </row>
    <row r="136" spans="1:9" x14ac:dyDescent="0.2">
      <c r="A136" s="2">
        <v>1</v>
      </c>
      <c r="B136" s="1" t="s">
        <v>160</v>
      </c>
      <c r="C136" s="4">
        <v>106</v>
      </c>
      <c r="D136" s="8">
        <v>4.79</v>
      </c>
      <c r="E136" s="4">
        <v>57</v>
      </c>
      <c r="F136" s="8">
        <v>4.91</v>
      </c>
      <c r="G136" s="4">
        <v>49</v>
      </c>
      <c r="H136" s="8">
        <v>4.6900000000000004</v>
      </c>
      <c r="I136" s="4">
        <v>0</v>
      </c>
    </row>
    <row r="137" spans="1:9" x14ac:dyDescent="0.2">
      <c r="A137" s="2">
        <v>2</v>
      </c>
      <c r="B137" s="1" t="s">
        <v>184</v>
      </c>
      <c r="C137" s="4">
        <v>92</v>
      </c>
      <c r="D137" s="8">
        <v>4.16</v>
      </c>
      <c r="E137" s="4">
        <v>60</v>
      </c>
      <c r="F137" s="8">
        <v>5.16</v>
      </c>
      <c r="G137" s="4">
        <v>32</v>
      </c>
      <c r="H137" s="8">
        <v>3.07</v>
      </c>
      <c r="I137" s="4">
        <v>0</v>
      </c>
    </row>
    <row r="138" spans="1:9" x14ac:dyDescent="0.2">
      <c r="A138" s="2">
        <v>3</v>
      </c>
      <c r="B138" s="1" t="s">
        <v>167</v>
      </c>
      <c r="C138" s="4">
        <v>75</v>
      </c>
      <c r="D138" s="8">
        <v>3.39</v>
      </c>
      <c r="E138" s="4">
        <v>71</v>
      </c>
      <c r="F138" s="8">
        <v>6.11</v>
      </c>
      <c r="G138" s="4">
        <v>4</v>
      </c>
      <c r="H138" s="8">
        <v>0.38</v>
      </c>
      <c r="I138" s="4">
        <v>0</v>
      </c>
    </row>
    <row r="139" spans="1:9" x14ac:dyDescent="0.2">
      <c r="A139" s="2">
        <v>4</v>
      </c>
      <c r="B139" s="1" t="s">
        <v>169</v>
      </c>
      <c r="C139" s="4">
        <v>72</v>
      </c>
      <c r="D139" s="8">
        <v>3.25</v>
      </c>
      <c r="E139" s="4">
        <v>64</v>
      </c>
      <c r="F139" s="8">
        <v>5.51</v>
      </c>
      <c r="G139" s="4">
        <v>8</v>
      </c>
      <c r="H139" s="8">
        <v>0.77</v>
      </c>
      <c r="I139" s="4">
        <v>0</v>
      </c>
    </row>
    <row r="140" spans="1:9" x14ac:dyDescent="0.2">
      <c r="A140" s="2">
        <v>5</v>
      </c>
      <c r="B140" s="1" t="s">
        <v>165</v>
      </c>
      <c r="C140" s="4">
        <v>70</v>
      </c>
      <c r="D140" s="8">
        <v>3.16</v>
      </c>
      <c r="E140" s="4">
        <v>68</v>
      </c>
      <c r="F140" s="8">
        <v>5.85</v>
      </c>
      <c r="G140" s="4">
        <v>2</v>
      </c>
      <c r="H140" s="8">
        <v>0.19</v>
      </c>
      <c r="I140" s="4">
        <v>0</v>
      </c>
    </row>
    <row r="141" spans="1:9" x14ac:dyDescent="0.2">
      <c r="A141" s="2">
        <v>6</v>
      </c>
      <c r="B141" s="1" t="s">
        <v>164</v>
      </c>
      <c r="C141" s="4">
        <v>61</v>
      </c>
      <c r="D141" s="8">
        <v>2.76</v>
      </c>
      <c r="E141" s="4">
        <v>52</v>
      </c>
      <c r="F141" s="8">
        <v>4.4800000000000004</v>
      </c>
      <c r="G141" s="4">
        <v>9</v>
      </c>
      <c r="H141" s="8">
        <v>0.86</v>
      </c>
      <c r="I141" s="4">
        <v>0</v>
      </c>
    </row>
    <row r="142" spans="1:9" x14ac:dyDescent="0.2">
      <c r="A142" s="2">
        <v>7</v>
      </c>
      <c r="B142" s="1" t="s">
        <v>157</v>
      </c>
      <c r="C142" s="4">
        <v>59</v>
      </c>
      <c r="D142" s="8">
        <v>2.66</v>
      </c>
      <c r="E142" s="4">
        <v>47</v>
      </c>
      <c r="F142" s="8">
        <v>4.04</v>
      </c>
      <c r="G142" s="4">
        <v>11</v>
      </c>
      <c r="H142" s="8">
        <v>1.05</v>
      </c>
      <c r="I142" s="4">
        <v>1</v>
      </c>
    </row>
    <row r="143" spans="1:9" x14ac:dyDescent="0.2">
      <c r="A143" s="2">
        <v>8</v>
      </c>
      <c r="B143" s="1" t="s">
        <v>171</v>
      </c>
      <c r="C143" s="4">
        <v>52</v>
      </c>
      <c r="D143" s="8">
        <v>2.35</v>
      </c>
      <c r="E143" s="4">
        <v>42</v>
      </c>
      <c r="F143" s="8">
        <v>3.61</v>
      </c>
      <c r="G143" s="4">
        <v>10</v>
      </c>
      <c r="H143" s="8">
        <v>0.96</v>
      </c>
      <c r="I143" s="4">
        <v>0</v>
      </c>
    </row>
    <row r="144" spans="1:9" x14ac:dyDescent="0.2">
      <c r="A144" s="2">
        <v>9</v>
      </c>
      <c r="B144" s="1" t="s">
        <v>168</v>
      </c>
      <c r="C144" s="4">
        <v>49</v>
      </c>
      <c r="D144" s="8">
        <v>2.21</v>
      </c>
      <c r="E144" s="4">
        <v>49</v>
      </c>
      <c r="F144" s="8">
        <v>4.22</v>
      </c>
      <c r="G144" s="4">
        <v>0</v>
      </c>
      <c r="H144" s="8">
        <v>0</v>
      </c>
      <c r="I144" s="4">
        <v>0</v>
      </c>
    </row>
    <row r="145" spans="1:9" x14ac:dyDescent="0.2">
      <c r="A145" s="2">
        <v>10</v>
      </c>
      <c r="B145" s="1" t="s">
        <v>156</v>
      </c>
      <c r="C145" s="4">
        <v>43</v>
      </c>
      <c r="D145" s="8">
        <v>1.94</v>
      </c>
      <c r="E145" s="4">
        <v>34</v>
      </c>
      <c r="F145" s="8">
        <v>2.93</v>
      </c>
      <c r="G145" s="4">
        <v>9</v>
      </c>
      <c r="H145" s="8">
        <v>0.86</v>
      </c>
      <c r="I145" s="4">
        <v>0</v>
      </c>
    </row>
    <row r="146" spans="1:9" x14ac:dyDescent="0.2">
      <c r="A146" s="2">
        <v>11</v>
      </c>
      <c r="B146" s="1" t="s">
        <v>190</v>
      </c>
      <c r="C146" s="4">
        <v>34</v>
      </c>
      <c r="D146" s="8">
        <v>1.54</v>
      </c>
      <c r="E146" s="4">
        <v>3</v>
      </c>
      <c r="F146" s="8">
        <v>0.26</v>
      </c>
      <c r="G146" s="4">
        <v>31</v>
      </c>
      <c r="H146" s="8">
        <v>2.97</v>
      </c>
      <c r="I146" s="4">
        <v>0</v>
      </c>
    </row>
    <row r="147" spans="1:9" x14ac:dyDescent="0.2">
      <c r="A147" s="2">
        <v>12</v>
      </c>
      <c r="B147" s="1" t="s">
        <v>193</v>
      </c>
      <c r="C147" s="4">
        <v>33</v>
      </c>
      <c r="D147" s="8">
        <v>1.49</v>
      </c>
      <c r="E147" s="4">
        <v>23</v>
      </c>
      <c r="F147" s="8">
        <v>1.98</v>
      </c>
      <c r="G147" s="4">
        <v>10</v>
      </c>
      <c r="H147" s="8">
        <v>0.96</v>
      </c>
      <c r="I147" s="4">
        <v>0</v>
      </c>
    </row>
    <row r="148" spans="1:9" x14ac:dyDescent="0.2">
      <c r="A148" s="2">
        <v>13</v>
      </c>
      <c r="B148" s="1" t="s">
        <v>192</v>
      </c>
      <c r="C148" s="4">
        <v>32</v>
      </c>
      <c r="D148" s="8">
        <v>1.45</v>
      </c>
      <c r="E148" s="4">
        <v>15</v>
      </c>
      <c r="F148" s="8">
        <v>1.29</v>
      </c>
      <c r="G148" s="4">
        <v>17</v>
      </c>
      <c r="H148" s="8">
        <v>1.63</v>
      </c>
      <c r="I148" s="4">
        <v>0</v>
      </c>
    </row>
    <row r="149" spans="1:9" x14ac:dyDescent="0.2">
      <c r="A149" s="2">
        <v>14</v>
      </c>
      <c r="B149" s="1" t="s">
        <v>194</v>
      </c>
      <c r="C149" s="4">
        <v>30</v>
      </c>
      <c r="D149" s="8">
        <v>1.36</v>
      </c>
      <c r="E149" s="4">
        <v>26</v>
      </c>
      <c r="F149" s="8">
        <v>2.2400000000000002</v>
      </c>
      <c r="G149" s="4">
        <v>4</v>
      </c>
      <c r="H149" s="8">
        <v>0.38</v>
      </c>
      <c r="I149" s="4">
        <v>0</v>
      </c>
    </row>
    <row r="150" spans="1:9" x14ac:dyDescent="0.2">
      <c r="A150" s="2">
        <v>15</v>
      </c>
      <c r="B150" s="1" t="s">
        <v>191</v>
      </c>
      <c r="C150" s="4">
        <v>28</v>
      </c>
      <c r="D150" s="8">
        <v>1.26</v>
      </c>
      <c r="E150" s="4">
        <v>6</v>
      </c>
      <c r="F150" s="8">
        <v>0.52</v>
      </c>
      <c r="G150" s="4">
        <v>22</v>
      </c>
      <c r="H150" s="8">
        <v>2.11</v>
      </c>
      <c r="I150" s="4">
        <v>0</v>
      </c>
    </row>
    <row r="151" spans="1:9" x14ac:dyDescent="0.2">
      <c r="A151" s="2">
        <v>15</v>
      </c>
      <c r="B151" s="1" t="s">
        <v>195</v>
      </c>
      <c r="C151" s="4">
        <v>28</v>
      </c>
      <c r="D151" s="8">
        <v>1.26</v>
      </c>
      <c r="E151" s="4">
        <v>19</v>
      </c>
      <c r="F151" s="8">
        <v>1.64</v>
      </c>
      <c r="G151" s="4">
        <v>9</v>
      </c>
      <c r="H151" s="8">
        <v>0.86</v>
      </c>
      <c r="I151" s="4">
        <v>0</v>
      </c>
    </row>
    <row r="152" spans="1:9" x14ac:dyDescent="0.2">
      <c r="A152" s="2">
        <v>15</v>
      </c>
      <c r="B152" s="1" t="s">
        <v>170</v>
      </c>
      <c r="C152" s="4">
        <v>28</v>
      </c>
      <c r="D152" s="8">
        <v>1.26</v>
      </c>
      <c r="E152" s="4">
        <v>23</v>
      </c>
      <c r="F152" s="8">
        <v>1.98</v>
      </c>
      <c r="G152" s="4">
        <v>5</v>
      </c>
      <c r="H152" s="8">
        <v>0.48</v>
      </c>
      <c r="I152" s="4">
        <v>0</v>
      </c>
    </row>
    <row r="153" spans="1:9" x14ac:dyDescent="0.2">
      <c r="A153" s="2">
        <v>18</v>
      </c>
      <c r="B153" s="1" t="s">
        <v>152</v>
      </c>
      <c r="C153" s="4">
        <v>27</v>
      </c>
      <c r="D153" s="8">
        <v>1.22</v>
      </c>
      <c r="E153" s="4">
        <v>6</v>
      </c>
      <c r="F153" s="8">
        <v>0.52</v>
      </c>
      <c r="G153" s="4">
        <v>21</v>
      </c>
      <c r="H153" s="8">
        <v>2.0099999999999998</v>
      </c>
      <c r="I153" s="4">
        <v>0</v>
      </c>
    </row>
    <row r="154" spans="1:9" x14ac:dyDescent="0.2">
      <c r="A154" s="2">
        <v>18</v>
      </c>
      <c r="B154" s="1" t="s">
        <v>158</v>
      </c>
      <c r="C154" s="4">
        <v>27</v>
      </c>
      <c r="D154" s="8">
        <v>1.22</v>
      </c>
      <c r="E154" s="4">
        <v>3</v>
      </c>
      <c r="F154" s="8">
        <v>0.26</v>
      </c>
      <c r="G154" s="4">
        <v>24</v>
      </c>
      <c r="H154" s="8">
        <v>2.2999999999999998</v>
      </c>
      <c r="I154" s="4">
        <v>0</v>
      </c>
    </row>
    <row r="155" spans="1:9" x14ac:dyDescent="0.2">
      <c r="A155" s="2">
        <v>18</v>
      </c>
      <c r="B155" s="1" t="s">
        <v>166</v>
      </c>
      <c r="C155" s="4">
        <v>27</v>
      </c>
      <c r="D155" s="8">
        <v>1.22</v>
      </c>
      <c r="E155" s="4">
        <v>26</v>
      </c>
      <c r="F155" s="8">
        <v>2.2400000000000002</v>
      </c>
      <c r="G155" s="4">
        <v>0</v>
      </c>
      <c r="H155" s="8">
        <v>0</v>
      </c>
      <c r="I155" s="4">
        <v>1</v>
      </c>
    </row>
    <row r="156" spans="1:9" x14ac:dyDescent="0.2">
      <c r="A156" s="2">
        <v>18</v>
      </c>
      <c r="B156" s="1" t="s">
        <v>196</v>
      </c>
      <c r="C156" s="4">
        <v>27</v>
      </c>
      <c r="D156" s="8">
        <v>1.22</v>
      </c>
      <c r="E156" s="4">
        <v>19</v>
      </c>
      <c r="F156" s="8">
        <v>1.64</v>
      </c>
      <c r="G156" s="4">
        <v>8</v>
      </c>
      <c r="H156" s="8">
        <v>0.77</v>
      </c>
      <c r="I156" s="4">
        <v>0</v>
      </c>
    </row>
    <row r="157" spans="1:9" x14ac:dyDescent="0.2">
      <c r="A157" s="1"/>
      <c r="C157" s="4"/>
      <c r="D157" s="8"/>
      <c r="E157" s="4"/>
      <c r="F157" s="8"/>
      <c r="G157" s="4"/>
      <c r="H157" s="8"/>
      <c r="I157" s="4"/>
    </row>
    <row r="158" spans="1:9" x14ac:dyDescent="0.2">
      <c r="A158" s="1" t="s">
        <v>7</v>
      </c>
      <c r="C158" s="4"/>
      <c r="D158" s="8"/>
      <c r="E158" s="4"/>
      <c r="F158" s="8"/>
      <c r="G158" s="4"/>
      <c r="H158" s="8"/>
      <c r="I158" s="4"/>
    </row>
    <row r="159" spans="1:9" x14ac:dyDescent="0.2">
      <c r="A159" s="2">
        <v>1</v>
      </c>
      <c r="B159" s="1" t="s">
        <v>160</v>
      </c>
      <c r="C159" s="4">
        <v>82</v>
      </c>
      <c r="D159" s="8">
        <v>4.38</v>
      </c>
      <c r="E159" s="4">
        <v>40</v>
      </c>
      <c r="F159" s="8">
        <v>4.2</v>
      </c>
      <c r="G159" s="4">
        <v>42</v>
      </c>
      <c r="H159" s="8">
        <v>4.58</v>
      </c>
      <c r="I159" s="4">
        <v>0</v>
      </c>
    </row>
    <row r="160" spans="1:9" x14ac:dyDescent="0.2">
      <c r="A160" s="2">
        <v>2</v>
      </c>
      <c r="B160" s="1" t="s">
        <v>167</v>
      </c>
      <c r="C160" s="4">
        <v>63</v>
      </c>
      <c r="D160" s="8">
        <v>3.36</v>
      </c>
      <c r="E160" s="4">
        <v>61</v>
      </c>
      <c r="F160" s="8">
        <v>6.4</v>
      </c>
      <c r="G160" s="4">
        <v>2</v>
      </c>
      <c r="H160" s="8">
        <v>0.22</v>
      </c>
      <c r="I160" s="4">
        <v>0</v>
      </c>
    </row>
    <row r="161" spans="1:9" x14ac:dyDescent="0.2">
      <c r="A161" s="2">
        <v>3</v>
      </c>
      <c r="B161" s="1" t="s">
        <v>169</v>
      </c>
      <c r="C161" s="4">
        <v>62</v>
      </c>
      <c r="D161" s="8">
        <v>3.31</v>
      </c>
      <c r="E161" s="4">
        <v>59</v>
      </c>
      <c r="F161" s="8">
        <v>6.19</v>
      </c>
      <c r="G161" s="4">
        <v>3</v>
      </c>
      <c r="H161" s="8">
        <v>0.33</v>
      </c>
      <c r="I161" s="4">
        <v>0</v>
      </c>
    </row>
    <row r="162" spans="1:9" x14ac:dyDescent="0.2">
      <c r="A162" s="2">
        <v>4</v>
      </c>
      <c r="B162" s="1" t="s">
        <v>165</v>
      </c>
      <c r="C162" s="4">
        <v>61</v>
      </c>
      <c r="D162" s="8">
        <v>3.26</v>
      </c>
      <c r="E162" s="4">
        <v>59</v>
      </c>
      <c r="F162" s="8">
        <v>6.19</v>
      </c>
      <c r="G162" s="4">
        <v>2</v>
      </c>
      <c r="H162" s="8">
        <v>0.22</v>
      </c>
      <c r="I162" s="4">
        <v>0</v>
      </c>
    </row>
    <row r="163" spans="1:9" x14ac:dyDescent="0.2">
      <c r="A163" s="2">
        <v>5</v>
      </c>
      <c r="B163" s="1" t="s">
        <v>168</v>
      </c>
      <c r="C163" s="4">
        <v>45</v>
      </c>
      <c r="D163" s="8">
        <v>2.4</v>
      </c>
      <c r="E163" s="4">
        <v>43</v>
      </c>
      <c r="F163" s="8">
        <v>4.51</v>
      </c>
      <c r="G163" s="4">
        <v>2</v>
      </c>
      <c r="H163" s="8">
        <v>0.22</v>
      </c>
      <c r="I163" s="4">
        <v>0</v>
      </c>
    </row>
    <row r="164" spans="1:9" x14ac:dyDescent="0.2">
      <c r="A164" s="2">
        <v>6</v>
      </c>
      <c r="B164" s="1" t="s">
        <v>157</v>
      </c>
      <c r="C164" s="4">
        <v>43</v>
      </c>
      <c r="D164" s="8">
        <v>2.29</v>
      </c>
      <c r="E164" s="4">
        <v>36</v>
      </c>
      <c r="F164" s="8">
        <v>3.78</v>
      </c>
      <c r="G164" s="4">
        <v>7</v>
      </c>
      <c r="H164" s="8">
        <v>0.76</v>
      </c>
      <c r="I164" s="4">
        <v>0</v>
      </c>
    </row>
    <row r="165" spans="1:9" x14ac:dyDescent="0.2">
      <c r="A165" s="2">
        <v>7</v>
      </c>
      <c r="B165" s="1" t="s">
        <v>164</v>
      </c>
      <c r="C165" s="4">
        <v>41</v>
      </c>
      <c r="D165" s="8">
        <v>2.19</v>
      </c>
      <c r="E165" s="4">
        <v>35</v>
      </c>
      <c r="F165" s="8">
        <v>3.67</v>
      </c>
      <c r="G165" s="4">
        <v>6</v>
      </c>
      <c r="H165" s="8">
        <v>0.65</v>
      </c>
      <c r="I165" s="4">
        <v>0</v>
      </c>
    </row>
    <row r="166" spans="1:9" x14ac:dyDescent="0.2">
      <c r="A166" s="2">
        <v>8</v>
      </c>
      <c r="B166" s="1" t="s">
        <v>156</v>
      </c>
      <c r="C166" s="4">
        <v>37</v>
      </c>
      <c r="D166" s="8">
        <v>1.97</v>
      </c>
      <c r="E166" s="4">
        <v>34</v>
      </c>
      <c r="F166" s="8">
        <v>3.57</v>
      </c>
      <c r="G166" s="4">
        <v>3</v>
      </c>
      <c r="H166" s="8">
        <v>0.33</v>
      </c>
      <c r="I166" s="4">
        <v>0</v>
      </c>
    </row>
    <row r="167" spans="1:9" x14ac:dyDescent="0.2">
      <c r="A167" s="2">
        <v>8</v>
      </c>
      <c r="B167" s="1" t="s">
        <v>171</v>
      </c>
      <c r="C167" s="4">
        <v>37</v>
      </c>
      <c r="D167" s="8">
        <v>1.97</v>
      </c>
      <c r="E167" s="4">
        <v>32</v>
      </c>
      <c r="F167" s="8">
        <v>3.36</v>
      </c>
      <c r="G167" s="4">
        <v>5</v>
      </c>
      <c r="H167" s="8">
        <v>0.55000000000000004</v>
      </c>
      <c r="I167" s="4">
        <v>0</v>
      </c>
    </row>
    <row r="168" spans="1:9" x14ac:dyDescent="0.2">
      <c r="A168" s="2">
        <v>10</v>
      </c>
      <c r="B168" s="1" t="s">
        <v>153</v>
      </c>
      <c r="C168" s="4">
        <v>36</v>
      </c>
      <c r="D168" s="8">
        <v>1.92</v>
      </c>
      <c r="E168" s="4">
        <v>10</v>
      </c>
      <c r="F168" s="8">
        <v>1.05</v>
      </c>
      <c r="G168" s="4">
        <v>26</v>
      </c>
      <c r="H168" s="8">
        <v>2.84</v>
      </c>
      <c r="I168" s="4">
        <v>0</v>
      </c>
    </row>
    <row r="169" spans="1:9" x14ac:dyDescent="0.2">
      <c r="A169" s="2">
        <v>11</v>
      </c>
      <c r="B169" s="1" t="s">
        <v>166</v>
      </c>
      <c r="C169" s="4">
        <v>34</v>
      </c>
      <c r="D169" s="8">
        <v>1.81</v>
      </c>
      <c r="E169" s="4">
        <v>34</v>
      </c>
      <c r="F169" s="8">
        <v>3.57</v>
      </c>
      <c r="G169" s="4">
        <v>0</v>
      </c>
      <c r="H169" s="8">
        <v>0</v>
      </c>
      <c r="I169" s="4">
        <v>0</v>
      </c>
    </row>
    <row r="170" spans="1:9" x14ac:dyDescent="0.2">
      <c r="A170" s="2">
        <v>12</v>
      </c>
      <c r="B170" s="1" t="s">
        <v>174</v>
      </c>
      <c r="C170" s="4">
        <v>29</v>
      </c>
      <c r="D170" s="8">
        <v>1.55</v>
      </c>
      <c r="E170" s="4">
        <v>10</v>
      </c>
      <c r="F170" s="8">
        <v>1.05</v>
      </c>
      <c r="G170" s="4">
        <v>19</v>
      </c>
      <c r="H170" s="8">
        <v>2.0699999999999998</v>
      </c>
      <c r="I170" s="4">
        <v>0</v>
      </c>
    </row>
    <row r="171" spans="1:9" x14ac:dyDescent="0.2">
      <c r="A171" s="2">
        <v>12</v>
      </c>
      <c r="B171" s="1" t="s">
        <v>161</v>
      </c>
      <c r="C171" s="4">
        <v>29</v>
      </c>
      <c r="D171" s="8">
        <v>1.55</v>
      </c>
      <c r="E171" s="4">
        <v>19</v>
      </c>
      <c r="F171" s="8">
        <v>1.99</v>
      </c>
      <c r="G171" s="4">
        <v>10</v>
      </c>
      <c r="H171" s="8">
        <v>1.0900000000000001</v>
      </c>
      <c r="I171" s="4">
        <v>0</v>
      </c>
    </row>
    <row r="172" spans="1:9" x14ac:dyDescent="0.2">
      <c r="A172" s="2">
        <v>14</v>
      </c>
      <c r="B172" s="1" t="s">
        <v>154</v>
      </c>
      <c r="C172" s="4">
        <v>27</v>
      </c>
      <c r="D172" s="8">
        <v>1.44</v>
      </c>
      <c r="E172" s="4">
        <v>6</v>
      </c>
      <c r="F172" s="8">
        <v>0.63</v>
      </c>
      <c r="G172" s="4">
        <v>21</v>
      </c>
      <c r="H172" s="8">
        <v>2.29</v>
      </c>
      <c r="I172" s="4">
        <v>0</v>
      </c>
    </row>
    <row r="173" spans="1:9" x14ac:dyDescent="0.2">
      <c r="A173" s="2">
        <v>14</v>
      </c>
      <c r="B173" s="1" t="s">
        <v>198</v>
      </c>
      <c r="C173" s="4">
        <v>27</v>
      </c>
      <c r="D173" s="8">
        <v>1.44</v>
      </c>
      <c r="E173" s="4">
        <v>18</v>
      </c>
      <c r="F173" s="8">
        <v>1.89</v>
      </c>
      <c r="G173" s="4">
        <v>9</v>
      </c>
      <c r="H173" s="8">
        <v>0.98</v>
      </c>
      <c r="I173" s="4">
        <v>0</v>
      </c>
    </row>
    <row r="174" spans="1:9" x14ac:dyDescent="0.2">
      <c r="A174" s="2">
        <v>16</v>
      </c>
      <c r="B174" s="1" t="s">
        <v>192</v>
      </c>
      <c r="C174" s="4">
        <v>26</v>
      </c>
      <c r="D174" s="8">
        <v>1.39</v>
      </c>
      <c r="E174" s="4">
        <v>10</v>
      </c>
      <c r="F174" s="8">
        <v>1.05</v>
      </c>
      <c r="G174" s="4">
        <v>16</v>
      </c>
      <c r="H174" s="8">
        <v>1.74</v>
      </c>
      <c r="I174" s="4">
        <v>0</v>
      </c>
    </row>
    <row r="175" spans="1:9" x14ac:dyDescent="0.2">
      <c r="A175" s="2">
        <v>17</v>
      </c>
      <c r="B175" s="1" t="s">
        <v>152</v>
      </c>
      <c r="C175" s="4">
        <v>25</v>
      </c>
      <c r="D175" s="8">
        <v>1.33</v>
      </c>
      <c r="E175" s="4">
        <v>4</v>
      </c>
      <c r="F175" s="8">
        <v>0.42</v>
      </c>
      <c r="G175" s="4">
        <v>21</v>
      </c>
      <c r="H175" s="8">
        <v>2.29</v>
      </c>
      <c r="I175" s="4">
        <v>0</v>
      </c>
    </row>
    <row r="176" spans="1:9" x14ac:dyDescent="0.2">
      <c r="A176" s="2">
        <v>18</v>
      </c>
      <c r="B176" s="1" t="s">
        <v>190</v>
      </c>
      <c r="C176" s="4">
        <v>24</v>
      </c>
      <c r="D176" s="8">
        <v>1.28</v>
      </c>
      <c r="E176" s="4">
        <v>3</v>
      </c>
      <c r="F176" s="8">
        <v>0.31</v>
      </c>
      <c r="G176" s="4">
        <v>21</v>
      </c>
      <c r="H176" s="8">
        <v>2.29</v>
      </c>
      <c r="I176" s="4">
        <v>0</v>
      </c>
    </row>
    <row r="177" spans="1:9" x14ac:dyDescent="0.2">
      <c r="A177" s="2">
        <v>19</v>
      </c>
      <c r="B177" s="1" t="s">
        <v>197</v>
      </c>
      <c r="C177" s="4">
        <v>23</v>
      </c>
      <c r="D177" s="8">
        <v>1.23</v>
      </c>
      <c r="E177" s="4">
        <v>2</v>
      </c>
      <c r="F177" s="8">
        <v>0.21</v>
      </c>
      <c r="G177" s="4">
        <v>21</v>
      </c>
      <c r="H177" s="8">
        <v>2.29</v>
      </c>
      <c r="I177" s="4">
        <v>0</v>
      </c>
    </row>
    <row r="178" spans="1:9" x14ac:dyDescent="0.2">
      <c r="A178" s="2">
        <v>19</v>
      </c>
      <c r="B178" s="1" t="s">
        <v>184</v>
      </c>
      <c r="C178" s="4">
        <v>23</v>
      </c>
      <c r="D178" s="8">
        <v>1.23</v>
      </c>
      <c r="E178" s="4">
        <v>6</v>
      </c>
      <c r="F178" s="8">
        <v>0.63</v>
      </c>
      <c r="G178" s="4">
        <v>17</v>
      </c>
      <c r="H178" s="8">
        <v>1.85</v>
      </c>
      <c r="I178" s="4">
        <v>0</v>
      </c>
    </row>
    <row r="179" spans="1:9" x14ac:dyDescent="0.2">
      <c r="A179" s="2">
        <v>19</v>
      </c>
      <c r="B179" s="1" t="s">
        <v>176</v>
      </c>
      <c r="C179" s="4">
        <v>23</v>
      </c>
      <c r="D179" s="8">
        <v>1.23</v>
      </c>
      <c r="E179" s="4">
        <v>11</v>
      </c>
      <c r="F179" s="8">
        <v>1.1499999999999999</v>
      </c>
      <c r="G179" s="4">
        <v>12</v>
      </c>
      <c r="H179" s="8">
        <v>1.31</v>
      </c>
      <c r="I179" s="4">
        <v>0</v>
      </c>
    </row>
    <row r="180" spans="1:9" x14ac:dyDescent="0.2">
      <c r="A180" s="1"/>
      <c r="C180" s="4"/>
      <c r="D180" s="8"/>
      <c r="E180" s="4"/>
      <c r="F180" s="8"/>
      <c r="G180" s="4"/>
      <c r="H180" s="8"/>
      <c r="I180" s="4"/>
    </row>
    <row r="181" spans="1:9" x14ac:dyDescent="0.2">
      <c r="A181" s="1" t="s">
        <v>8</v>
      </c>
      <c r="C181" s="4"/>
      <c r="D181" s="8"/>
      <c r="E181" s="4"/>
      <c r="F181" s="8"/>
      <c r="G181" s="4"/>
      <c r="H181" s="8"/>
      <c r="I181" s="4"/>
    </row>
    <row r="182" spans="1:9" x14ac:dyDescent="0.2">
      <c r="A182" s="2">
        <v>1</v>
      </c>
      <c r="B182" s="1" t="s">
        <v>160</v>
      </c>
      <c r="C182" s="4">
        <v>198</v>
      </c>
      <c r="D182" s="8">
        <v>6.38</v>
      </c>
      <c r="E182" s="4">
        <v>54</v>
      </c>
      <c r="F182" s="8">
        <v>4.18</v>
      </c>
      <c r="G182" s="4">
        <v>144</v>
      </c>
      <c r="H182" s="8">
        <v>7.99</v>
      </c>
      <c r="I182" s="4">
        <v>0</v>
      </c>
    </row>
    <row r="183" spans="1:9" x14ac:dyDescent="0.2">
      <c r="A183" s="2">
        <v>2</v>
      </c>
      <c r="B183" s="1" t="s">
        <v>163</v>
      </c>
      <c r="C183" s="4">
        <v>136</v>
      </c>
      <c r="D183" s="8">
        <v>4.38</v>
      </c>
      <c r="E183" s="4">
        <v>134</v>
      </c>
      <c r="F183" s="8">
        <v>10.36</v>
      </c>
      <c r="G183" s="4">
        <v>2</v>
      </c>
      <c r="H183" s="8">
        <v>0.11</v>
      </c>
      <c r="I183" s="4">
        <v>0</v>
      </c>
    </row>
    <row r="184" spans="1:9" x14ac:dyDescent="0.2">
      <c r="A184" s="2">
        <v>3</v>
      </c>
      <c r="B184" s="1" t="s">
        <v>159</v>
      </c>
      <c r="C184" s="4">
        <v>97</v>
      </c>
      <c r="D184" s="8">
        <v>3.13</v>
      </c>
      <c r="E184" s="4">
        <v>28</v>
      </c>
      <c r="F184" s="8">
        <v>2.17</v>
      </c>
      <c r="G184" s="4">
        <v>69</v>
      </c>
      <c r="H184" s="8">
        <v>3.83</v>
      </c>
      <c r="I184" s="4">
        <v>0</v>
      </c>
    </row>
    <row r="185" spans="1:9" x14ac:dyDescent="0.2">
      <c r="A185" s="2">
        <v>4</v>
      </c>
      <c r="B185" s="1" t="s">
        <v>171</v>
      </c>
      <c r="C185" s="4">
        <v>96</v>
      </c>
      <c r="D185" s="8">
        <v>3.09</v>
      </c>
      <c r="E185" s="4">
        <v>77</v>
      </c>
      <c r="F185" s="8">
        <v>5.96</v>
      </c>
      <c r="G185" s="4">
        <v>19</v>
      </c>
      <c r="H185" s="8">
        <v>1.05</v>
      </c>
      <c r="I185" s="4">
        <v>0</v>
      </c>
    </row>
    <row r="186" spans="1:9" x14ac:dyDescent="0.2">
      <c r="A186" s="2">
        <v>5</v>
      </c>
      <c r="B186" s="1" t="s">
        <v>164</v>
      </c>
      <c r="C186" s="4">
        <v>92</v>
      </c>
      <c r="D186" s="8">
        <v>2.96</v>
      </c>
      <c r="E186" s="4">
        <v>71</v>
      </c>
      <c r="F186" s="8">
        <v>5.49</v>
      </c>
      <c r="G186" s="4">
        <v>21</v>
      </c>
      <c r="H186" s="8">
        <v>1.17</v>
      </c>
      <c r="I186" s="4">
        <v>0</v>
      </c>
    </row>
    <row r="187" spans="1:9" x14ac:dyDescent="0.2">
      <c r="A187" s="2">
        <v>6</v>
      </c>
      <c r="B187" s="1" t="s">
        <v>169</v>
      </c>
      <c r="C187" s="4">
        <v>78</v>
      </c>
      <c r="D187" s="8">
        <v>2.5099999999999998</v>
      </c>
      <c r="E187" s="4">
        <v>53</v>
      </c>
      <c r="F187" s="8">
        <v>4.0999999999999996</v>
      </c>
      <c r="G187" s="4">
        <v>25</v>
      </c>
      <c r="H187" s="8">
        <v>1.39</v>
      </c>
      <c r="I187" s="4">
        <v>0</v>
      </c>
    </row>
    <row r="188" spans="1:9" x14ac:dyDescent="0.2">
      <c r="A188" s="2">
        <v>7</v>
      </c>
      <c r="B188" s="1" t="s">
        <v>154</v>
      </c>
      <c r="C188" s="4">
        <v>77</v>
      </c>
      <c r="D188" s="8">
        <v>2.48</v>
      </c>
      <c r="E188" s="4">
        <v>11</v>
      </c>
      <c r="F188" s="8">
        <v>0.85</v>
      </c>
      <c r="G188" s="4">
        <v>66</v>
      </c>
      <c r="H188" s="8">
        <v>3.66</v>
      </c>
      <c r="I188" s="4">
        <v>0</v>
      </c>
    </row>
    <row r="189" spans="1:9" x14ac:dyDescent="0.2">
      <c r="A189" s="2">
        <v>8</v>
      </c>
      <c r="B189" s="1" t="s">
        <v>175</v>
      </c>
      <c r="C189" s="4">
        <v>73</v>
      </c>
      <c r="D189" s="8">
        <v>2.35</v>
      </c>
      <c r="E189" s="4">
        <v>18</v>
      </c>
      <c r="F189" s="8">
        <v>1.39</v>
      </c>
      <c r="G189" s="4">
        <v>55</v>
      </c>
      <c r="H189" s="8">
        <v>3.05</v>
      </c>
      <c r="I189" s="4">
        <v>0</v>
      </c>
    </row>
    <row r="190" spans="1:9" x14ac:dyDescent="0.2">
      <c r="A190" s="2">
        <v>9</v>
      </c>
      <c r="B190" s="1" t="s">
        <v>157</v>
      </c>
      <c r="C190" s="4">
        <v>69</v>
      </c>
      <c r="D190" s="8">
        <v>2.2200000000000002</v>
      </c>
      <c r="E190" s="4">
        <v>46</v>
      </c>
      <c r="F190" s="8">
        <v>3.56</v>
      </c>
      <c r="G190" s="4">
        <v>23</v>
      </c>
      <c r="H190" s="8">
        <v>1.28</v>
      </c>
      <c r="I190" s="4">
        <v>0</v>
      </c>
    </row>
    <row r="191" spans="1:9" x14ac:dyDescent="0.2">
      <c r="A191" s="2">
        <v>10</v>
      </c>
      <c r="B191" s="1" t="s">
        <v>165</v>
      </c>
      <c r="C191" s="4">
        <v>68</v>
      </c>
      <c r="D191" s="8">
        <v>2.19</v>
      </c>
      <c r="E191" s="4">
        <v>60</v>
      </c>
      <c r="F191" s="8">
        <v>4.6399999999999997</v>
      </c>
      <c r="G191" s="4">
        <v>8</v>
      </c>
      <c r="H191" s="8">
        <v>0.44</v>
      </c>
      <c r="I191" s="4">
        <v>0</v>
      </c>
    </row>
    <row r="192" spans="1:9" x14ac:dyDescent="0.2">
      <c r="A192" s="2">
        <v>11</v>
      </c>
      <c r="B192" s="1" t="s">
        <v>155</v>
      </c>
      <c r="C192" s="4">
        <v>67</v>
      </c>
      <c r="D192" s="8">
        <v>2.16</v>
      </c>
      <c r="E192" s="4">
        <v>17</v>
      </c>
      <c r="F192" s="8">
        <v>1.31</v>
      </c>
      <c r="G192" s="4">
        <v>50</v>
      </c>
      <c r="H192" s="8">
        <v>2.77</v>
      </c>
      <c r="I192" s="4">
        <v>0</v>
      </c>
    </row>
    <row r="193" spans="1:9" x14ac:dyDescent="0.2">
      <c r="A193" s="2">
        <v>11</v>
      </c>
      <c r="B193" s="1" t="s">
        <v>158</v>
      </c>
      <c r="C193" s="4">
        <v>67</v>
      </c>
      <c r="D193" s="8">
        <v>2.16</v>
      </c>
      <c r="E193" s="4">
        <v>8</v>
      </c>
      <c r="F193" s="8">
        <v>0.62</v>
      </c>
      <c r="G193" s="4">
        <v>59</v>
      </c>
      <c r="H193" s="8">
        <v>3.27</v>
      </c>
      <c r="I193" s="4">
        <v>0</v>
      </c>
    </row>
    <row r="194" spans="1:9" x14ac:dyDescent="0.2">
      <c r="A194" s="2">
        <v>11</v>
      </c>
      <c r="B194" s="1" t="s">
        <v>170</v>
      </c>
      <c r="C194" s="4">
        <v>67</v>
      </c>
      <c r="D194" s="8">
        <v>2.16</v>
      </c>
      <c r="E194" s="4">
        <v>42</v>
      </c>
      <c r="F194" s="8">
        <v>3.25</v>
      </c>
      <c r="G194" s="4">
        <v>24</v>
      </c>
      <c r="H194" s="8">
        <v>1.33</v>
      </c>
      <c r="I194" s="4">
        <v>1</v>
      </c>
    </row>
    <row r="195" spans="1:9" x14ac:dyDescent="0.2">
      <c r="A195" s="2">
        <v>14</v>
      </c>
      <c r="B195" s="1" t="s">
        <v>167</v>
      </c>
      <c r="C195" s="4">
        <v>65</v>
      </c>
      <c r="D195" s="8">
        <v>2.09</v>
      </c>
      <c r="E195" s="4">
        <v>61</v>
      </c>
      <c r="F195" s="8">
        <v>4.72</v>
      </c>
      <c r="G195" s="4">
        <v>4</v>
      </c>
      <c r="H195" s="8">
        <v>0.22</v>
      </c>
      <c r="I195" s="4">
        <v>0</v>
      </c>
    </row>
    <row r="196" spans="1:9" x14ac:dyDescent="0.2">
      <c r="A196" s="2">
        <v>15</v>
      </c>
      <c r="B196" s="1" t="s">
        <v>172</v>
      </c>
      <c r="C196" s="4">
        <v>60</v>
      </c>
      <c r="D196" s="8">
        <v>1.93</v>
      </c>
      <c r="E196" s="4">
        <v>22</v>
      </c>
      <c r="F196" s="8">
        <v>1.7</v>
      </c>
      <c r="G196" s="4">
        <v>38</v>
      </c>
      <c r="H196" s="8">
        <v>2.11</v>
      </c>
      <c r="I196" s="4">
        <v>0</v>
      </c>
    </row>
    <row r="197" spans="1:9" x14ac:dyDescent="0.2">
      <c r="A197" s="2">
        <v>16</v>
      </c>
      <c r="B197" s="1" t="s">
        <v>162</v>
      </c>
      <c r="C197" s="4">
        <v>58</v>
      </c>
      <c r="D197" s="8">
        <v>1.87</v>
      </c>
      <c r="E197" s="4">
        <v>5</v>
      </c>
      <c r="F197" s="8">
        <v>0.39</v>
      </c>
      <c r="G197" s="4">
        <v>51</v>
      </c>
      <c r="H197" s="8">
        <v>2.83</v>
      </c>
      <c r="I197" s="4">
        <v>1</v>
      </c>
    </row>
    <row r="198" spans="1:9" x14ac:dyDescent="0.2">
      <c r="A198" s="2">
        <v>17</v>
      </c>
      <c r="B198" s="1" t="s">
        <v>189</v>
      </c>
      <c r="C198" s="4">
        <v>50</v>
      </c>
      <c r="D198" s="8">
        <v>1.61</v>
      </c>
      <c r="E198" s="4">
        <v>6</v>
      </c>
      <c r="F198" s="8">
        <v>0.46</v>
      </c>
      <c r="G198" s="4">
        <v>44</v>
      </c>
      <c r="H198" s="8">
        <v>2.44</v>
      </c>
      <c r="I198" s="4">
        <v>0</v>
      </c>
    </row>
    <row r="199" spans="1:9" x14ac:dyDescent="0.2">
      <c r="A199" s="2">
        <v>18</v>
      </c>
      <c r="B199" s="1" t="s">
        <v>199</v>
      </c>
      <c r="C199" s="4">
        <v>44</v>
      </c>
      <c r="D199" s="8">
        <v>1.42</v>
      </c>
      <c r="E199" s="4">
        <v>20</v>
      </c>
      <c r="F199" s="8">
        <v>1.55</v>
      </c>
      <c r="G199" s="4">
        <v>24</v>
      </c>
      <c r="H199" s="8">
        <v>1.33</v>
      </c>
      <c r="I199" s="4">
        <v>0</v>
      </c>
    </row>
    <row r="200" spans="1:9" x14ac:dyDescent="0.2">
      <c r="A200" s="2">
        <v>19</v>
      </c>
      <c r="B200" s="1" t="s">
        <v>188</v>
      </c>
      <c r="C200" s="4">
        <v>40</v>
      </c>
      <c r="D200" s="8">
        <v>1.29</v>
      </c>
      <c r="E200" s="4">
        <v>1</v>
      </c>
      <c r="F200" s="8">
        <v>0.08</v>
      </c>
      <c r="G200" s="4">
        <v>39</v>
      </c>
      <c r="H200" s="8">
        <v>2.16</v>
      </c>
      <c r="I200" s="4">
        <v>0</v>
      </c>
    </row>
    <row r="201" spans="1:9" x14ac:dyDescent="0.2">
      <c r="A201" s="2">
        <v>20</v>
      </c>
      <c r="B201" s="1" t="s">
        <v>161</v>
      </c>
      <c r="C201" s="4">
        <v>39</v>
      </c>
      <c r="D201" s="8">
        <v>1.26</v>
      </c>
      <c r="E201" s="4">
        <v>21</v>
      </c>
      <c r="F201" s="8">
        <v>1.62</v>
      </c>
      <c r="G201" s="4">
        <v>18</v>
      </c>
      <c r="H201" s="8">
        <v>1</v>
      </c>
      <c r="I201" s="4">
        <v>0</v>
      </c>
    </row>
    <row r="202" spans="1:9" x14ac:dyDescent="0.2">
      <c r="A202" s="1"/>
      <c r="C202" s="4"/>
      <c r="D202" s="8"/>
      <c r="E202" s="4"/>
      <c r="F202" s="8"/>
      <c r="G202" s="4"/>
      <c r="H202" s="8"/>
      <c r="I202" s="4"/>
    </row>
    <row r="203" spans="1:9" x14ac:dyDescent="0.2">
      <c r="A203" s="1" t="s">
        <v>9</v>
      </c>
      <c r="C203" s="4"/>
      <c r="D203" s="8"/>
      <c r="E203" s="4"/>
      <c r="F203" s="8"/>
      <c r="G203" s="4"/>
      <c r="H203" s="8"/>
      <c r="I203" s="4"/>
    </row>
    <row r="204" spans="1:9" x14ac:dyDescent="0.2">
      <c r="A204" s="2">
        <v>1</v>
      </c>
      <c r="B204" s="1" t="s">
        <v>160</v>
      </c>
      <c r="C204" s="4">
        <v>194</v>
      </c>
      <c r="D204" s="8">
        <v>7.34</v>
      </c>
      <c r="E204" s="4">
        <v>61</v>
      </c>
      <c r="F204" s="8">
        <v>5.85</v>
      </c>
      <c r="G204" s="4">
        <v>133</v>
      </c>
      <c r="H204" s="8">
        <v>8.32</v>
      </c>
      <c r="I204" s="4">
        <v>0</v>
      </c>
    </row>
    <row r="205" spans="1:9" x14ac:dyDescent="0.2">
      <c r="A205" s="2">
        <v>2</v>
      </c>
      <c r="B205" s="1" t="s">
        <v>159</v>
      </c>
      <c r="C205" s="4">
        <v>115</v>
      </c>
      <c r="D205" s="8">
        <v>4.3499999999999996</v>
      </c>
      <c r="E205" s="4">
        <v>21</v>
      </c>
      <c r="F205" s="8">
        <v>2.02</v>
      </c>
      <c r="G205" s="4">
        <v>94</v>
      </c>
      <c r="H205" s="8">
        <v>5.88</v>
      </c>
      <c r="I205" s="4">
        <v>0</v>
      </c>
    </row>
    <row r="206" spans="1:9" x14ac:dyDescent="0.2">
      <c r="A206" s="2">
        <v>3</v>
      </c>
      <c r="B206" s="1" t="s">
        <v>164</v>
      </c>
      <c r="C206" s="4">
        <v>89</v>
      </c>
      <c r="D206" s="8">
        <v>3.37</v>
      </c>
      <c r="E206" s="4">
        <v>66</v>
      </c>
      <c r="F206" s="8">
        <v>6.33</v>
      </c>
      <c r="G206" s="4">
        <v>23</v>
      </c>
      <c r="H206" s="8">
        <v>1.44</v>
      </c>
      <c r="I206" s="4">
        <v>0</v>
      </c>
    </row>
    <row r="207" spans="1:9" x14ac:dyDescent="0.2">
      <c r="A207" s="2">
        <v>4</v>
      </c>
      <c r="B207" s="1" t="s">
        <v>167</v>
      </c>
      <c r="C207" s="4">
        <v>88</v>
      </c>
      <c r="D207" s="8">
        <v>3.33</v>
      </c>
      <c r="E207" s="4">
        <v>80</v>
      </c>
      <c r="F207" s="8">
        <v>7.68</v>
      </c>
      <c r="G207" s="4">
        <v>8</v>
      </c>
      <c r="H207" s="8">
        <v>0.5</v>
      </c>
      <c r="I207" s="4">
        <v>0</v>
      </c>
    </row>
    <row r="208" spans="1:9" x14ac:dyDescent="0.2">
      <c r="A208" s="2">
        <v>5</v>
      </c>
      <c r="B208" s="1" t="s">
        <v>154</v>
      </c>
      <c r="C208" s="4">
        <v>85</v>
      </c>
      <c r="D208" s="8">
        <v>3.21</v>
      </c>
      <c r="E208" s="4">
        <v>21</v>
      </c>
      <c r="F208" s="8">
        <v>2.02</v>
      </c>
      <c r="G208" s="4">
        <v>64</v>
      </c>
      <c r="H208" s="8">
        <v>4.01</v>
      </c>
      <c r="I208" s="4">
        <v>0</v>
      </c>
    </row>
    <row r="209" spans="1:9" x14ac:dyDescent="0.2">
      <c r="A209" s="2">
        <v>6</v>
      </c>
      <c r="B209" s="1" t="s">
        <v>177</v>
      </c>
      <c r="C209" s="4">
        <v>79</v>
      </c>
      <c r="D209" s="8">
        <v>2.99</v>
      </c>
      <c r="E209" s="4">
        <v>43</v>
      </c>
      <c r="F209" s="8">
        <v>4.13</v>
      </c>
      <c r="G209" s="4">
        <v>36</v>
      </c>
      <c r="H209" s="8">
        <v>2.25</v>
      </c>
      <c r="I209" s="4">
        <v>0</v>
      </c>
    </row>
    <row r="210" spans="1:9" x14ac:dyDescent="0.2">
      <c r="A210" s="2">
        <v>7</v>
      </c>
      <c r="B210" s="1" t="s">
        <v>157</v>
      </c>
      <c r="C210" s="4">
        <v>62</v>
      </c>
      <c r="D210" s="8">
        <v>2.34</v>
      </c>
      <c r="E210" s="4">
        <v>39</v>
      </c>
      <c r="F210" s="8">
        <v>3.74</v>
      </c>
      <c r="G210" s="4">
        <v>23</v>
      </c>
      <c r="H210" s="8">
        <v>1.44</v>
      </c>
      <c r="I210" s="4">
        <v>0</v>
      </c>
    </row>
    <row r="211" spans="1:9" x14ac:dyDescent="0.2">
      <c r="A211" s="2">
        <v>8</v>
      </c>
      <c r="B211" s="1" t="s">
        <v>165</v>
      </c>
      <c r="C211" s="4">
        <v>61</v>
      </c>
      <c r="D211" s="8">
        <v>2.31</v>
      </c>
      <c r="E211" s="4">
        <v>47</v>
      </c>
      <c r="F211" s="8">
        <v>4.51</v>
      </c>
      <c r="G211" s="4">
        <v>14</v>
      </c>
      <c r="H211" s="8">
        <v>0.88</v>
      </c>
      <c r="I211" s="4">
        <v>0</v>
      </c>
    </row>
    <row r="212" spans="1:9" x14ac:dyDescent="0.2">
      <c r="A212" s="2">
        <v>9</v>
      </c>
      <c r="B212" s="1" t="s">
        <v>195</v>
      </c>
      <c r="C212" s="4">
        <v>51</v>
      </c>
      <c r="D212" s="8">
        <v>1.93</v>
      </c>
      <c r="E212" s="4">
        <v>16</v>
      </c>
      <c r="F212" s="8">
        <v>1.54</v>
      </c>
      <c r="G212" s="4">
        <v>35</v>
      </c>
      <c r="H212" s="8">
        <v>2.19</v>
      </c>
      <c r="I212" s="4">
        <v>0</v>
      </c>
    </row>
    <row r="213" spans="1:9" x14ac:dyDescent="0.2">
      <c r="A213" s="2">
        <v>10</v>
      </c>
      <c r="B213" s="1" t="s">
        <v>158</v>
      </c>
      <c r="C213" s="4">
        <v>48</v>
      </c>
      <c r="D213" s="8">
        <v>1.82</v>
      </c>
      <c r="E213" s="4">
        <v>7</v>
      </c>
      <c r="F213" s="8">
        <v>0.67</v>
      </c>
      <c r="G213" s="4">
        <v>41</v>
      </c>
      <c r="H213" s="8">
        <v>2.57</v>
      </c>
      <c r="I213" s="4">
        <v>0</v>
      </c>
    </row>
    <row r="214" spans="1:9" x14ac:dyDescent="0.2">
      <c r="A214" s="2">
        <v>11</v>
      </c>
      <c r="B214" s="1" t="s">
        <v>179</v>
      </c>
      <c r="C214" s="4">
        <v>45</v>
      </c>
      <c r="D214" s="8">
        <v>1.7</v>
      </c>
      <c r="E214" s="4">
        <v>9</v>
      </c>
      <c r="F214" s="8">
        <v>0.86</v>
      </c>
      <c r="G214" s="4">
        <v>36</v>
      </c>
      <c r="H214" s="8">
        <v>2.25</v>
      </c>
      <c r="I214" s="4">
        <v>0</v>
      </c>
    </row>
    <row r="215" spans="1:9" x14ac:dyDescent="0.2">
      <c r="A215" s="2">
        <v>12</v>
      </c>
      <c r="B215" s="1" t="s">
        <v>200</v>
      </c>
      <c r="C215" s="4">
        <v>40</v>
      </c>
      <c r="D215" s="8">
        <v>1.51</v>
      </c>
      <c r="E215" s="4">
        <v>5</v>
      </c>
      <c r="F215" s="8">
        <v>0.48</v>
      </c>
      <c r="G215" s="4">
        <v>35</v>
      </c>
      <c r="H215" s="8">
        <v>2.19</v>
      </c>
      <c r="I215" s="4">
        <v>0</v>
      </c>
    </row>
    <row r="216" spans="1:9" x14ac:dyDescent="0.2">
      <c r="A216" s="2">
        <v>13</v>
      </c>
      <c r="B216" s="1" t="s">
        <v>201</v>
      </c>
      <c r="C216" s="4">
        <v>38</v>
      </c>
      <c r="D216" s="8">
        <v>1.44</v>
      </c>
      <c r="E216" s="4">
        <v>14</v>
      </c>
      <c r="F216" s="8">
        <v>1.34</v>
      </c>
      <c r="G216" s="4">
        <v>24</v>
      </c>
      <c r="H216" s="8">
        <v>1.5</v>
      </c>
      <c r="I216" s="4">
        <v>0</v>
      </c>
    </row>
    <row r="217" spans="1:9" x14ac:dyDescent="0.2">
      <c r="A217" s="2">
        <v>13</v>
      </c>
      <c r="B217" s="1" t="s">
        <v>169</v>
      </c>
      <c r="C217" s="4">
        <v>38</v>
      </c>
      <c r="D217" s="8">
        <v>1.44</v>
      </c>
      <c r="E217" s="4">
        <v>34</v>
      </c>
      <c r="F217" s="8">
        <v>3.26</v>
      </c>
      <c r="G217" s="4">
        <v>4</v>
      </c>
      <c r="H217" s="8">
        <v>0.25</v>
      </c>
      <c r="I217" s="4">
        <v>0</v>
      </c>
    </row>
    <row r="218" spans="1:9" x14ac:dyDescent="0.2">
      <c r="A218" s="2">
        <v>15</v>
      </c>
      <c r="B218" s="1" t="s">
        <v>178</v>
      </c>
      <c r="C218" s="4">
        <v>36</v>
      </c>
      <c r="D218" s="8">
        <v>1.36</v>
      </c>
      <c r="E218" s="4">
        <v>7</v>
      </c>
      <c r="F218" s="8">
        <v>0.67</v>
      </c>
      <c r="G218" s="4">
        <v>29</v>
      </c>
      <c r="H218" s="8">
        <v>1.81</v>
      </c>
      <c r="I218" s="4">
        <v>0</v>
      </c>
    </row>
    <row r="219" spans="1:9" x14ac:dyDescent="0.2">
      <c r="A219" s="2">
        <v>16</v>
      </c>
      <c r="B219" s="1" t="s">
        <v>162</v>
      </c>
      <c r="C219" s="4">
        <v>35</v>
      </c>
      <c r="D219" s="8">
        <v>1.32</v>
      </c>
      <c r="E219" s="4">
        <v>2</v>
      </c>
      <c r="F219" s="8">
        <v>0.19</v>
      </c>
      <c r="G219" s="4">
        <v>33</v>
      </c>
      <c r="H219" s="8">
        <v>2.0699999999999998</v>
      </c>
      <c r="I219" s="4">
        <v>0</v>
      </c>
    </row>
    <row r="220" spans="1:9" x14ac:dyDescent="0.2">
      <c r="A220" s="2">
        <v>17</v>
      </c>
      <c r="B220" s="1" t="s">
        <v>166</v>
      </c>
      <c r="C220" s="4">
        <v>34</v>
      </c>
      <c r="D220" s="8">
        <v>1.29</v>
      </c>
      <c r="E220" s="4">
        <v>32</v>
      </c>
      <c r="F220" s="8">
        <v>3.07</v>
      </c>
      <c r="G220" s="4">
        <v>2</v>
      </c>
      <c r="H220" s="8">
        <v>0.13</v>
      </c>
      <c r="I220" s="4">
        <v>0</v>
      </c>
    </row>
    <row r="221" spans="1:9" x14ac:dyDescent="0.2">
      <c r="A221" s="2">
        <v>17</v>
      </c>
      <c r="B221" s="1" t="s">
        <v>171</v>
      </c>
      <c r="C221" s="4">
        <v>34</v>
      </c>
      <c r="D221" s="8">
        <v>1.29</v>
      </c>
      <c r="E221" s="4">
        <v>27</v>
      </c>
      <c r="F221" s="8">
        <v>2.59</v>
      </c>
      <c r="G221" s="4">
        <v>7</v>
      </c>
      <c r="H221" s="8">
        <v>0.44</v>
      </c>
      <c r="I221" s="4">
        <v>0</v>
      </c>
    </row>
    <row r="222" spans="1:9" x14ac:dyDescent="0.2">
      <c r="A222" s="2">
        <v>19</v>
      </c>
      <c r="B222" s="1" t="s">
        <v>152</v>
      </c>
      <c r="C222" s="4">
        <v>33</v>
      </c>
      <c r="D222" s="8">
        <v>1.25</v>
      </c>
      <c r="E222" s="4">
        <v>0</v>
      </c>
      <c r="F222" s="8">
        <v>0</v>
      </c>
      <c r="G222" s="4">
        <v>33</v>
      </c>
      <c r="H222" s="8">
        <v>2.0699999999999998</v>
      </c>
      <c r="I222" s="4">
        <v>0</v>
      </c>
    </row>
    <row r="223" spans="1:9" x14ac:dyDescent="0.2">
      <c r="A223" s="2">
        <v>20</v>
      </c>
      <c r="B223" s="1" t="s">
        <v>176</v>
      </c>
      <c r="C223" s="4">
        <v>31</v>
      </c>
      <c r="D223" s="8">
        <v>1.17</v>
      </c>
      <c r="E223" s="4">
        <v>11</v>
      </c>
      <c r="F223" s="8">
        <v>1.06</v>
      </c>
      <c r="G223" s="4">
        <v>20</v>
      </c>
      <c r="H223" s="8">
        <v>1.25</v>
      </c>
      <c r="I223" s="4">
        <v>0</v>
      </c>
    </row>
    <row r="224" spans="1:9" x14ac:dyDescent="0.2">
      <c r="A224" s="2">
        <v>20</v>
      </c>
      <c r="B224" s="1" t="s">
        <v>170</v>
      </c>
      <c r="C224" s="4">
        <v>31</v>
      </c>
      <c r="D224" s="8">
        <v>1.17</v>
      </c>
      <c r="E224" s="4">
        <v>18</v>
      </c>
      <c r="F224" s="8">
        <v>1.73</v>
      </c>
      <c r="G224" s="4">
        <v>13</v>
      </c>
      <c r="H224" s="8">
        <v>0.81</v>
      </c>
      <c r="I224" s="4">
        <v>0</v>
      </c>
    </row>
    <row r="225" spans="1:9" x14ac:dyDescent="0.2">
      <c r="A225" s="1"/>
      <c r="C225" s="4"/>
      <c r="D225" s="8"/>
      <c r="E225" s="4"/>
      <c r="F225" s="8"/>
      <c r="G225" s="4"/>
      <c r="H225" s="8"/>
      <c r="I225" s="4"/>
    </row>
    <row r="226" spans="1:9" x14ac:dyDescent="0.2">
      <c r="A226" s="1" t="s">
        <v>10</v>
      </c>
      <c r="C226" s="4"/>
      <c r="D226" s="8"/>
      <c r="E226" s="4"/>
      <c r="F226" s="8"/>
      <c r="G226" s="4"/>
      <c r="H226" s="8"/>
      <c r="I226" s="4"/>
    </row>
    <row r="227" spans="1:9" x14ac:dyDescent="0.2">
      <c r="A227" s="2">
        <v>1</v>
      </c>
      <c r="B227" s="1" t="s">
        <v>160</v>
      </c>
      <c r="C227" s="4">
        <v>116</v>
      </c>
      <c r="D227" s="8">
        <v>5.0199999999999996</v>
      </c>
      <c r="E227" s="4">
        <v>43</v>
      </c>
      <c r="F227" s="8">
        <v>4.2699999999999996</v>
      </c>
      <c r="G227" s="4">
        <v>73</v>
      </c>
      <c r="H227" s="8">
        <v>5.61</v>
      </c>
      <c r="I227" s="4">
        <v>0</v>
      </c>
    </row>
    <row r="228" spans="1:9" x14ac:dyDescent="0.2">
      <c r="A228" s="2">
        <v>2</v>
      </c>
      <c r="B228" s="1" t="s">
        <v>169</v>
      </c>
      <c r="C228" s="4">
        <v>71</v>
      </c>
      <c r="D228" s="8">
        <v>3.07</v>
      </c>
      <c r="E228" s="4">
        <v>64</v>
      </c>
      <c r="F228" s="8">
        <v>6.36</v>
      </c>
      <c r="G228" s="4">
        <v>7</v>
      </c>
      <c r="H228" s="8">
        <v>0.54</v>
      </c>
      <c r="I228" s="4">
        <v>0</v>
      </c>
    </row>
    <row r="229" spans="1:9" x14ac:dyDescent="0.2">
      <c r="A229" s="2">
        <v>3</v>
      </c>
      <c r="B229" s="1" t="s">
        <v>167</v>
      </c>
      <c r="C229" s="4">
        <v>65</v>
      </c>
      <c r="D229" s="8">
        <v>2.81</v>
      </c>
      <c r="E229" s="4">
        <v>63</v>
      </c>
      <c r="F229" s="8">
        <v>6.26</v>
      </c>
      <c r="G229" s="4">
        <v>2</v>
      </c>
      <c r="H229" s="8">
        <v>0.15</v>
      </c>
      <c r="I229" s="4">
        <v>0</v>
      </c>
    </row>
    <row r="230" spans="1:9" x14ac:dyDescent="0.2">
      <c r="A230" s="2">
        <v>4</v>
      </c>
      <c r="B230" s="1" t="s">
        <v>192</v>
      </c>
      <c r="C230" s="4">
        <v>61</v>
      </c>
      <c r="D230" s="8">
        <v>2.64</v>
      </c>
      <c r="E230" s="4">
        <v>18</v>
      </c>
      <c r="F230" s="8">
        <v>1.79</v>
      </c>
      <c r="G230" s="4">
        <v>43</v>
      </c>
      <c r="H230" s="8">
        <v>3.3</v>
      </c>
      <c r="I230" s="4">
        <v>0</v>
      </c>
    </row>
    <row r="231" spans="1:9" x14ac:dyDescent="0.2">
      <c r="A231" s="2">
        <v>5</v>
      </c>
      <c r="B231" s="1" t="s">
        <v>165</v>
      </c>
      <c r="C231" s="4">
        <v>58</v>
      </c>
      <c r="D231" s="8">
        <v>2.5099999999999998</v>
      </c>
      <c r="E231" s="4">
        <v>53</v>
      </c>
      <c r="F231" s="8">
        <v>5.26</v>
      </c>
      <c r="G231" s="4">
        <v>5</v>
      </c>
      <c r="H231" s="8">
        <v>0.38</v>
      </c>
      <c r="I231" s="4">
        <v>0</v>
      </c>
    </row>
    <row r="232" spans="1:9" x14ac:dyDescent="0.2">
      <c r="A232" s="2">
        <v>6</v>
      </c>
      <c r="B232" s="1" t="s">
        <v>171</v>
      </c>
      <c r="C232" s="4">
        <v>53</v>
      </c>
      <c r="D232" s="8">
        <v>2.29</v>
      </c>
      <c r="E232" s="4">
        <v>48</v>
      </c>
      <c r="F232" s="8">
        <v>4.7699999999999996</v>
      </c>
      <c r="G232" s="4">
        <v>5</v>
      </c>
      <c r="H232" s="8">
        <v>0.38</v>
      </c>
      <c r="I232" s="4">
        <v>0</v>
      </c>
    </row>
    <row r="233" spans="1:9" x14ac:dyDescent="0.2">
      <c r="A233" s="2">
        <v>7</v>
      </c>
      <c r="B233" s="1" t="s">
        <v>168</v>
      </c>
      <c r="C233" s="4">
        <v>43</v>
      </c>
      <c r="D233" s="8">
        <v>1.86</v>
      </c>
      <c r="E233" s="4">
        <v>39</v>
      </c>
      <c r="F233" s="8">
        <v>3.87</v>
      </c>
      <c r="G233" s="4">
        <v>4</v>
      </c>
      <c r="H233" s="8">
        <v>0.31</v>
      </c>
      <c r="I233" s="4">
        <v>0</v>
      </c>
    </row>
    <row r="234" spans="1:9" x14ac:dyDescent="0.2">
      <c r="A234" s="2">
        <v>8</v>
      </c>
      <c r="B234" s="1" t="s">
        <v>204</v>
      </c>
      <c r="C234" s="4">
        <v>37</v>
      </c>
      <c r="D234" s="8">
        <v>1.6</v>
      </c>
      <c r="E234" s="4">
        <v>4</v>
      </c>
      <c r="F234" s="8">
        <v>0.4</v>
      </c>
      <c r="G234" s="4">
        <v>33</v>
      </c>
      <c r="H234" s="8">
        <v>2.5299999999999998</v>
      </c>
      <c r="I234" s="4">
        <v>0</v>
      </c>
    </row>
    <row r="235" spans="1:9" x14ac:dyDescent="0.2">
      <c r="A235" s="2">
        <v>8</v>
      </c>
      <c r="B235" s="1" t="s">
        <v>164</v>
      </c>
      <c r="C235" s="4">
        <v>37</v>
      </c>
      <c r="D235" s="8">
        <v>1.6</v>
      </c>
      <c r="E235" s="4">
        <v>33</v>
      </c>
      <c r="F235" s="8">
        <v>3.28</v>
      </c>
      <c r="G235" s="4">
        <v>4</v>
      </c>
      <c r="H235" s="8">
        <v>0.31</v>
      </c>
      <c r="I235" s="4">
        <v>0</v>
      </c>
    </row>
    <row r="236" spans="1:9" x14ac:dyDescent="0.2">
      <c r="A236" s="2">
        <v>10</v>
      </c>
      <c r="B236" s="1" t="s">
        <v>194</v>
      </c>
      <c r="C236" s="4">
        <v>36</v>
      </c>
      <c r="D236" s="8">
        <v>1.56</v>
      </c>
      <c r="E236" s="4">
        <v>30</v>
      </c>
      <c r="F236" s="8">
        <v>2.98</v>
      </c>
      <c r="G236" s="4">
        <v>6</v>
      </c>
      <c r="H236" s="8">
        <v>0.46</v>
      </c>
      <c r="I236" s="4">
        <v>0</v>
      </c>
    </row>
    <row r="237" spans="1:9" x14ac:dyDescent="0.2">
      <c r="A237" s="2">
        <v>11</v>
      </c>
      <c r="B237" s="1" t="s">
        <v>193</v>
      </c>
      <c r="C237" s="4">
        <v>34</v>
      </c>
      <c r="D237" s="8">
        <v>1.47</v>
      </c>
      <c r="E237" s="4">
        <v>14</v>
      </c>
      <c r="F237" s="8">
        <v>1.39</v>
      </c>
      <c r="G237" s="4">
        <v>20</v>
      </c>
      <c r="H237" s="8">
        <v>1.54</v>
      </c>
      <c r="I237" s="4">
        <v>0</v>
      </c>
    </row>
    <row r="238" spans="1:9" x14ac:dyDescent="0.2">
      <c r="A238" s="2">
        <v>12</v>
      </c>
      <c r="B238" s="1" t="s">
        <v>153</v>
      </c>
      <c r="C238" s="4">
        <v>33</v>
      </c>
      <c r="D238" s="8">
        <v>1.43</v>
      </c>
      <c r="E238" s="4">
        <v>3</v>
      </c>
      <c r="F238" s="8">
        <v>0.3</v>
      </c>
      <c r="G238" s="4">
        <v>30</v>
      </c>
      <c r="H238" s="8">
        <v>2.2999999999999998</v>
      </c>
      <c r="I238" s="4">
        <v>0</v>
      </c>
    </row>
    <row r="239" spans="1:9" x14ac:dyDescent="0.2">
      <c r="A239" s="2">
        <v>12</v>
      </c>
      <c r="B239" s="1" t="s">
        <v>157</v>
      </c>
      <c r="C239" s="4">
        <v>33</v>
      </c>
      <c r="D239" s="8">
        <v>1.43</v>
      </c>
      <c r="E239" s="4">
        <v>29</v>
      </c>
      <c r="F239" s="8">
        <v>2.88</v>
      </c>
      <c r="G239" s="4">
        <v>4</v>
      </c>
      <c r="H239" s="8">
        <v>0.31</v>
      </c>
      <c r="I239" s="4">
        <v>0</v>
      </c>
    </row>
    <row r="240" spans="1:9" x14ac:dyDescent="0.2">
      <c r="A240" s="2">
        <v>14</v>
      </c>
      <c r="B240" s="1" t="s">
        <v>174</v>
      </c>
      <c r="C240" s="4">
        <v>32</v>
      </c>
      <c r="D240" s="8">
        <v>1.38</v>
      </c>
      <c r="E240" s="4">
        <v>2</v>
      </c>
      <c r="F240" s="8">
        <v>0.2</v>
      </c>
      <c r="G240" s="4">
        <v>30</v>
      </c>
      <c r="H240" s="8">
        <v>2.2999999999999998</v>
      </c>
      <c r="I240" s="4">
        <v>0</v>
      </c>
    </row>
    <row r="241" spans="1:9" x14ac:dyDescent="0.2">
      <c r="A241" s="2">
        <v>15</v>
      </c>
      <c r="B241" s="1" t="s">
        <v>190</v>
      </c>
      <c r="C241" s="4">
        <v>30</v>
      </c>
      <c r="D241" s="8">
        <v>1.3</v>
      </c>
      <c r="E241" s="4">
        <v>6</v>
      </c>
      <c r="F241" s="8">
        <v>0.6</v>
      </c>
      <c r="G241" s="4">
        <v>24</v>
      </c>
      <c r="H241" s="8">
        <v>1.84</v>
      </c>
      <c r="I241" s="4">
        <v>0</v>
      </c>
    </row>
    <row r="242" spans="1:9" x14ac:dyDescent="0.2">
      <c r="A242" s="2">
        <v>15</v>
      </c>
      <c r="B242" s="1" t="s">
        <v>203</v>
      </c>
      <c r="C242" s="4">
        <v>30</v>
      </c>
      <c r="D242" s="8">
        <v>1.3</v>
      </c>
      <c r="E242" s="4">
        <v>7</v>
      </c>
      <c r="F242" s="8">
        <v>0.7</v>
      </c>
      <c r="G242" s="4">
        <v>23</v>
      </c>
      <c r="H242" s="8">
        <v>1.77</v>
      </c>
      <c r="I242" s="4">
        <v>0</v>
      </c>
    </row>
    <row r="243" spans="1:9" x14ac:dyDescent="0.2">
      <c r="A243" s="2">
        <v>15</v>
      </c>
      <c r="B243" s="1" t="s">
        <v>198</v>
      </c>
      <c r="C243" s="4">
        <v>30</v>
      </c>
      <c r="D243" s="8">
        <v>1.3</v>
      </c>
      <c r="E243" s="4">
        <v>23</v>
      </c>
      <c r="F243" s="8">
        <v>2.2799999999999998</v>
      </c>
      <c r="G243" s="4">
        <v>7</v>
      </c>
      <c r="H243" s="8">
        <v>0.54</v>
      </c>
      <c r="I243" s="4">
        <v>0</v>
      </c>
    </row>
    <row r="244" spans="1:9" x14ac:dyDescent="0.2">
      <c r="A244" s="2">
        <v>18</v>
      </c>
      <c r="B244" s="1" t="s">
        <v>202</v>
      </c>
      <c r="C244" s="4">
        <v>29</v>
      </c>
      <c r="D244" s="8">
        <v>1.25</v>
      </c>
      <c r="E244" s="4">
        <v>9</v>
      </c>
      <c r="F244" s="8">
        <v>0.89</v>
      </c>
      <c r="G244" s="4">
        <v>20</v>
      </c>
      <c r="H244" s="8">
        <v>1.54</v>
      </c>
      <c r="I244" s="4">
        <v>0</v>
      </c>
    </row>
    <row r="245" spans="1:9" x14ac:dyDescent="0.2">
      <c r="A245" s="2">
        <v>18</v>
      </c>
      <c r="B245" s="1" t="s">
        <v>156</v>
      </c>
      <c r="C245" s="4">
        <v>29</v>
      </c>
      <c r="D245" s="8">
        <v>1.25</v>
      </c>
      <c r="E245" s="4">
        <v>22</v>
      </c>
      <c r="F245" s="8">
        <v>2.1800000000000002</v>
      </c>
      <c r="G245" s="4">
        <v>7</v>
      </c>
      <c r="H245" s="8">
        <v>0.54</v>
      </c>
      <c r="I245" s="4">
        <v>0</v>
      </c>
    </row>
    <row r="246" spans="1:9" x14ac:dyDescent="0.2">
      <c r="A246" s="2">
        <v>18</v>
      </c>
      <c r="B246" s="1" t="s">
        <v>158</v>
      </c>
      <c r="C246" s="4">
        <v>29</v>
      </c>
      <c r="D246" s="8">
        <v>1.25</v>
      </c>
      <c r="E246" s="4">
        <v>6</v>
      </c>
      <c r="F246" s="8">
        <v>0.6</v>
      </c>
      <c r="G246" s="4">
        <v>23</v>
      </c>
      <c r="H246" s="8">
        <v>1.77</v>
      </c>
      <c r="I246" s="4">
        <v>0</v>
      </c>
    </row>
    <row r="247" spans="1:9" x14ac:dyDescent="0.2">
      <c r="A247" s="1"/>
      <c r="C247" s="4"/>
      <c r="D247" s="8"/>
      <c r="E247" s="4"/>
      <c r="F247" s="8"/>
      <c r="G247" s="4"/>
      <c r="H247" s="8"/>
      <c r="I247" s="4"/>
    </row>
    <row r="248" spans="1:9" x14ac:dyDescent="0.2">
      <c r="A248" s="1" t="s">
        <v>11</v>
      </c>
      <c r="C248" s="4"/>
      <c r="D248" s="8"/>
      <c r="E248" s="4"/>
      <c r="F248" s="8"/>
      <c r="G248" s="4"/>
      <c r="H248" s="8"/>
      <c r="I248" s="4"/>
    </row>
    <row r="249" spans="1:9" x14ac:dyDescent="0.2">
      <c r="A249" s="2">
        <v>1</v>
      </c>
      <c r="B249" s="1" t="s">
        <v>160</v>
      </c>
      <c r="C249" s="4">
        <v>351</v>
      </c>
      <c r="D249" s="8">
        <v>10.73</v>
      </c>
      <c r="E249" s="4">
        <v>188</v>
      </c>
      <c r="F249" s="8">
        <v>11.64</v>
      </c>
      <c r="G249" s="4">
        <v>163</v>
      </c>
      <c r="H249" s="8">
        <v>9.8699999999999992</v>
      </c>
      <c r="I249" s="4">
        <v>0</v>
      </c>
    </row>
    <row r="250" spans="1:9" x14ac:dyDescent="0.2">
      <c r="A250" s="2">
        <v>2</v>
      </c>
      <c r="B250" s="1" t="s">
        <v>169</v>
      </c>
      <c r="C250" s="4">
        <v>141</v>
      </c>
      <c r="D250" s="8">
        <v>4.3099999999999996</v>
      </c>
      <c r="E250" s="4">
        <v>131</v>
      </c>
      <c r="F250" s="8">
        <v>8.11</v>
      </c>
      <c r="G250" s="4">
        <v>10</v>
      </c>
      <c r="H250" s="8">
        <v>0.61</v>
      </c>
      <c r="I250" s="4">
        <v>0</v>
      </c>
    </row>
    <row r="251" spans="1:9" x14ac:dyDescent="0.2">
      <c r="A251" s="2">
        <v>3</v>
      </c>
      <c r="B251" s="1" t="s">
        <v>171</v>
      </c>
      <c r="C251" s="4">
        <v>112</v>
      </c>
      <c r="D251" s="8">
        <v>3.43</v>
      </c>
      <c r="E251" s="4">
        <v>97</v>
      </c>
      <c r="F251" s="8">
        <v>6.01</v>
      </c>
      <c r="G251" s="4">
        <v>15</v>
      </c>
      <c r="H251" s="8">
        <v>0.91</v>
      </c>
      <c r="I251" s="4">
        <v>0</v>
      </c>
    </row>
    <row r="252" spans="1:9" x14ac:dyDescent="0.2">
      <c r="A252" s="2">
        <v>4</v>
      </c>
      <c r="B252" s="1" t="s">
        <v>165</v>
      </c>
      <c r="C252" s="4">
        <v>110</v>
      </c>
      <c r="D252" s="8">
        <v>3.36</v>
      </c>
      <c r="E252" s="4">
        <v>101</v>
      </c>
      <c r="F252" s="8">
        <v>6.25</v>
      </c>
      <c r="G252" s="4">
        <v>9</v>
      </c>
      <c r="H252" s="8">
        <v>0.55000000000000004</v>
      </c>
      <c r="I252" s="4">
        <v>0</v>
      </c>
    </row>
    <row r="253" spans="1:9" x14ac:dyDescent="0.2">
      <c r="A253" s="2">
        <v>5</v>
      </c>
      <c r="B253" s="1" t="s">
        <v>167</v>
      </c>
      <c r="C253" s="4">
        <v>93</v>
      </c>
      <c r="D253" s="8">
        <v>2.84</v>
      </c>
      <c r="E253" s="4">
        <v>88</v>
      </c>
      <c r="F253" s="8">
        <v>5.45</v>
      </c>
      <c r="G253" s="4">
        <v>5</v>
      </c>
      <c r="H253" s="8">
        <v>0.3</v>
      </c>
      <c r="I253" s="4">
        <v>0</v>
      </c>
    </row>
    <row r="254" spans="1:9" x14ac:dyDescent="0.2">
      <c r="A254" s="2">
        <v>6</v>
      </c>
      <c r="B254" s="1" t="s">
        <v>168</v>
      </c>
      <c r="C254" s="4">
        <v>88</v>
      </c>
      <c r="D254" s="8">
        <v>2.69</v>
      </c>
      <c r="E254" s="4">
        <v>87</v>
      </c>
      <c r="F254" s="8">
        <v>5.39</v>
      </c>
      <c r="G254" s="4">
        <v>1</v>
      </c>
      <c r="H254" s="8">
        <v>0.06</v>
      </c>
      <c r="I254" s="4">
        <v>0</v>
      </c>
    </row>
    <row r="255" spans="1:9" x14ac:dyDescent="0.2">
      <c r="A255" s="2">
        <v>7</v>
      </c>
      <c r="B255" s="1" t="s">
        <v>162</v>
      </c>
      <c r="C255" s="4">
        <v>71</v>
      </c>
      <c r="D255" s="8">
        <v>2.17</v>
      </c>
      <c r="E255" s="4">
        <v>5</v>
      </c>
      <c r="F255" s="8">
        <v>0.31</v>
      </c>
      <c r="G255" s="4">
        <v>65</v>
      </c>
      <c r="H255" s="8">
        <v>3.94</v>
      </c>
      <c r="I255" s="4">
        <v>1</v>
      </c>
    </row>
    <row r="256" spans="1:9" x14ac:dyDescent="0.2">
      <c r="A256" s="2">
        <v>8</v>
      </c>
      <c r="B256" s="1" t="s">
        <v>161</v>
      </c>
      <c r="C256" s="4">
        <v>70</v>
      </c>
      <c r="D256" s="8">
        <v>2.14</v>
      </c>
      <c r="E256" s="4">
        <v>52</v>
      </c>
      <c r="F256" s="8">
        <v>3.22</v>
      </c>
      <c r="G256" s="4">
        <v>18</v>
      </c>
      <c r="H256" s="8">
        <v>1.0900000000000001</v>
      </c>
      <c r="I256" s="4">
        <v>0</v>
      </c>
    </row>
    <row r="257" spans="1:9" x14ac:dyDescent="0.2">
      <c r="A257" s="2">
        <v>9</v>
      </c>
      <c r="B257" s="1" t="s">
        <v>170</v>
      </c>
      <c r="C257" s="4">
        <v>61</v>
      </c>
      <c r="D257" s="8">
        <v>1.87</v>
      </c>
      <c r="E257" s="4">
        <v>51</v>
      </c>
      <c r="F257" s="8">
        <v>3.16</v>
      </c>
      <c r="G257" s="4">
        <v>10</v>
      </c>
      <c r="H257" s="8">
        <v>0.61</v>
      </c>
      <c r="I257" s="4">
        <v>0</v>
      </c>
    </row>
    <row r="258" spans="1:9" x14ac:dyDescent="0.2">
      <c r="A258" s="2">
        <v>10</v>
      </c>
      <c r="B258" s="1" t="s">
        <v>164</v>
      </c>
      <c r="C258" s="4">
        <v>59</v>
      </c>
      <c r="D258" s="8">
        <v>1.8</v>
      </c>
      <c r="E258" s="4">
        <v>52</v>
      </c>
      <c r="F258" s="8">
        <v>3.22</v>
      </c>
      <c r="G258" s="4">
        <v>7</v>
      </c>
      <c r="H258" s="8">
        <v>0.42</v>
      </c>
      <c r="I258" s="4">
        <v>0</v>
      </c>
    </row>
    <row r="259" spans="1:9" x14ac:dyDescent="0.2">
      <c r="A259" s="2">
        <v>11</v>
      </c>
      <c r="B259" s="1" t="s">
        <v>153</v>
      </c>
      <c r="C259" s="4">
        <v>55</v>
      </c>
      <c r="D259" s="8">
        <v>1.68</v>
      </c>
      <c r="E259" s="4">
        <v>8</v>
      </c>
      <c r="F259" s="8">
        <v>0.5</v>
      </c>
      <c r="G259" s="4">
        <v>47</v>
      </c>
      <c r="H259" s="8">
        <v>2.85</v>
      </c>
      <c r="I259" s="4">
        <v>0</v>
      </c>
    </row>
    <row r="260" spans="1:9" x14ac:dyDescent="0.2">
      <c r="A260" s="2">
        <v>12</v>
      </c>
      <c r="B260" s="1" t="s">
        <v>158</v>
      </c>
      <c r="C260" s="4">
        <v>54</v>
      </c>
      <c r="D260" s="8">
        <v>1.65</v>
      </c>
      <c r="E260" s="4">
        <v>10</v>
      </c>
      <c r="F260" s="8">
        <v>0.62</v>
      </c>
      <c r="G260" s="4">
        <v>44</v>
      </c>
      <c r="H260" s="8">
        <v>2.67</v>
      </c>
      <c r="I260" s="4">
        <v>0</v>
      </c>
    </row>
    <row r="261" spans="1:9" x14ac:dyDescent="0.2">
      <c r="A261" s="2">
        <v>13</v>
      </c>
      <c r="B261" s="1" t="s">
        <v>152</v>
      </c>
      <c r="C261" s="4">
        <v>51</v>
      </c>
      <c r="D261" s="8">
        <v>1.56</v>
      </c>
      <c r="E261" s="4">
        <v>6</v>
      </c>
      <c r="F261" s="8">
        <v>0.37</v>
      </c>
      <c r="G261" s="4">
        <v>45</v>
      </c>
      <c r="H261" s="8">
        <v>2.73</v>
      </c>
      <c r="I261" s="4">
        <v>0</v>
      </c>
    </row>
    <row r="262" spans="1:9" x14ac:dyDescent="0.2">
      <c r="A262" s="2">
        <v>13</v>
      </c>
      <c r="B262" s="1" t="s">
        <v>157</v>
      </c>
      <c r="C262" s="4">
        <v>51</v>
      </c>
      <c r="D262" s="8">
        <v>1.56</v>
      </c>
      <c r="E262" s="4">
        <v>40</v>
      </c>
      <c r="F262" s="8">
        <v>2.48</v>
      </c>
      <c r="G262" s="4">
        <v>11</v>
      </c>
      <c r="H262" s="8">
        <v>0.67</v>
      </c>
      <c r="I262" s="4">
        <v>0</v>
      </c>
    </row>
    <row r="263" spans="1:9" x14ac:dyDescent="0.2">
      <c r="A263" s="2">
        <v>15</v>
      </c>
      <c r="B263" s="1" t="s">
        <v>156</v>
      </c>
      <c r="C263" s="4">
        <v>47</v>
      </c>
      <c r="D263" s="8">
        <v>1.44</v>
      </c>
      <c r="E263" s="4">
        <v>34</v>
      </c>
      <c r="F263" s="8">
        <v>2.11</v>
      </c>
      <c r="G263" s="4">
        <v>13</v>
      </c>
      <c r="H263" s="8">
        <v>0.79</v>
      </c>
      <c r="I263" s="4">
        <v>0</v>
      </c>
    </row>
    <row r="264" spans="1:9" x14ac:dyDescent="0.2">
      <c r="A264" s="2">
        <v>16</v>
      </c>
      <c r="B264" s="1" t="s">
        <v>166</v>
      </c>
      <c r="C264" s="4">
        <v>46</v>
      </c>
      <c r="D264" s="8">
        <v>1.41</v>
      </c>
      <c r="E264" s="4">
        <v>44</v>
      </c>
      <c r="F264" s="8">
        <v>2.72</v>
      </c>
      <c r="G264" s="4">
        <v>2</v>
      </c>
      <c r="H264" s="8">
        <v>0.12</v>
      </c>
      <c r="I264" s="4">
        <v>0</v>
      </c>
    </row>
    <row r="265" spans="1:9" x14ac:dyDescent="0.2">
      <c r="A265" s="2">
        <v>17</v>
      </c>
      <c r="B265" s="1" t="s">
        <v>174</v>
      </c>
      <c r="C265" s="4">
        <v>45</v>
      </c>
      <c r="D265" s="8">
        <v>1.38</v>
      </c>
      <c r="E265" s="4">
        <v>4</v>
      </c>
      <c r="F265" s="8">
        <v>0.25</v>
      </c>
      <c r="G265" s="4">
        <v>41</v>
      </c>
      <c r="H265" s="8">
        <v>2.48</v>
      </c>
      <c r="I265" s="4">
        <v>0</v>
      </c>
    </row>
    <row r="266" spans="1:9" x14ac:dyDescent="0.2">
      <c r="A266" s="2">
        <v>18</v>
      </c>
      <c r="B266" s="1" t="s">
        <v>183</v>
      </c>
      <c r="C266" s="4">
        <v>44</v>
      </c>
      <c r="D266" s="8">
        <v>1.35</v>
      </c>
      <c r="E266" s="4">
        <v>43</v>
      </c>
      <c r="F266" s="8">
        <v>2.66</v>
      </c>
      <c r="G266" s="4">
        <v>1</v>
      </c>
      <c r="H266" s="8">
        <v>0.06</v>
      </c>
      <c r="I266" s="4">
        <v>0</v>
      </c>
    </row>
    <row r="267" spans="1:9" x14ac:dyDescent="0.2">
      <c r="A267" s="2">
        <v>19</v>
      </c>
      <c r="B267" s="1" t="s">
        <v>159</v>
      </c>
      <c r="C267" s="4">
        <v>42</v>
      </c>
      <c r="D267" s="8">
        <v>1.28</v>
      </c>
      <c r="E267" s="4">
        <v>9</v>
      </c>
      <c r="F267" s="8">
        <v>0.56000000000000005</v>
      </c>
      <c r="G267" s="4">
        <v>33</v>
      </c>
      <c r="H267" s="8">
        <v>2</v>
      </c>
      <c r="I267" s="4">
        <v>0</v>
      </c>
    </row>
    <row r="268" spans="1:9" x14ac:dyDescent="0.2">
      <c r="A268" s="2">
        <v>20</v>
      </c>
      <c r="B268" s="1" t="s">
        <v>196</v>
      </c>
      <c r="C268" s="4">
        <v>39</v>
      </c>
      <c r="D268" s="8">
        <v>1.19</v>
      </c>
      <c r="E268" s="4">
        <v>21</v>
      </c>
      <c r="F268" s="8">
        <v>1.3</v>
      </c>
      <c r="G268" s="4">
        <v>18</v>
      </c>
      <c r="H268" s="8">
        <v>1.0900000000000001</v>
      </c>
      <c r="I268" s="4">
        <v>0</v>
      </c>
    </row>
    <row r="269" spans="1:9" x14ac:dyDescent="0.2">
      <c r="A269" s="1"/>
      <c r="C269" s="4"/>
      <c r="D269" s="8"/>
      <c r="E269" s="4"/>
      <c r="F269" s="8"/>
      <c r="G269" s="4"/>
      <c r="H269" s="8"/>
      <c r="I269" s="4"/>
    </row>
    <row r="270" spans="1:9" x14ac:dyDescent="0.2">
      <c r="A270" s="1" t="s">
        <v>12</v>
      </c>
      <c r="C270" s="4"/>
      <c r="D270" s="8"/>
      <c r="E270" s="4"/>
      <c r="F270" s="8"/>
      <c r="G270" s="4"/>
      <c r="H270" s="8"/>
      <c r="I270" s="4"/>
    </row>
    <row r="271" spans="1:9" x14ac:dyDescent="0.2">
      <c r="A271" s="2">
        <v>1</v>
      </c>
      <c r="B271" s="1" t="s">
        <v>160</v>
      </c>
      <c r="C271" s="4">
        <v>156</v>
      </c>
      <c r="D271" s="8">
        <v>5.26</v>
      </c>
      <c r="E271" s="4">
        <v>51</v>
      </c>
      <c r="F271" s="8">
        <v>3.3</v>
      </c>
      <c r="G271" s="4">
        <v>105</v>
      </c>
      <c r="H271" s="8">
        <v>7.42</v>
      </c>
      <c r="I271" s="4">
        <v>0</v>
      </c>
    </row>
    <row r="272" spans="1:9" x14ac:dyDescent="0.2">
      <c r="A272" s="2">
        <v>2</v>
      </c>
      <c r="B272" s="1" t="s">
        <v>175</v>
      </c>
      <c r="C272" s="4">
        <v>85</v>
      </c>
      <c r="D272" s="8">
        <v>2.87</v>
      </c>
      <c r="E272" s="4">
        <v>23</v>
      </c>
      <c r="F272" s="8">
        <v>1.49</v>
      </c>
      <c r="G272" s="4">
        <v>62</v>
      </c>
      <c r="H272" s="8">
        <v>4.38</v>
      </c>
      <c r="I272" s="4">
        <v>0</v>
      </c>
    </row>
    <row r="273" spans="1:9" x14ac:dyDescent="0.2">
      <c r="A273" s="2">
        <v>3</v>
      </c>
      <c r="B273" s="1" t="s">
        <v>165</v>
      </c>
      <c r="C273" s="4">
        <v>84</v>
      </c>
      <c r="D273" s="8">
        <v>2.83</v>
      </c>
      <c r="E273" s="4">
        <v>81</v>
      </c>
      <c r="F273" s="8">
        <v>5.24</v>
      </c>
      <c r="G273" s="4">
        <v>3</v>
      </c>
      <c r="H273" s="8">
        <v>0.21</v>
      </c>
      <c r="I273" s="4">
        <v>0</v>
      </c>
    </row>
    <row r="274" spans="1:9" x14ac:dyDescent="0.2">
      <c r="A274" s="2">
        <v>4</v>
      </c>
      <c r="B274" s="1" t="s">
        <v>164</v>
      </c>
      <c r="C274" s="4">
        <v>81</v>
      </c>
      <c r="D274" s="8">
        <v>2.73</v>
      </c>
      <c r="E274" s="4">
        <v>67</v>
      </c>
      <c r="F274" s="8">
        <v>4.33</v>
      </c>
      <c r="G274" s="4">
        <v>14</v>
      </c>
      <c r="H274" s="8">
        <v>0.99</v>
      </c>
      <c r="I274" s="4">
        <v>0</v>
      </c>
    </row>
    <row r="275" spans="1:9" x14ac:dyDescent="0.2">
      <c r="A275" s="2">
        <v>5</v>
      </c>
      <c r="B275" s="1" t="s">
        <v>167</v>
      </c>
      <c r="C275" s="4">
        <v>79</v>
      </c>
      <c r="D275" s="8">
        <v>2.66</v>
      </c>
      <c r="E275" s="4">
        <v>77</v>
      </c>
      <c r="F275" s="8">
        <v>4.9800000000000004</v>
      </c>
      <c r="G275" s="4">
        <v>2</v>
      </c>
      <c r="H275" s="8">
        <v>0.14000000000000001</v>
      </c>
      <c r="I275" s="4">
        <v>0</v>
      </c>
    </row>
    <row r="276" spans="1:9" x14ac:dyDescent="0.2">
      <c r="A276" s="2">
        <v>6</v>
      </c>
      <c r="B276" s="1" t="s">
        <v>155</v>
      </c>
      <c r="C276" s="4">
        <v>76</v>
      </c>
      <c r="D276" s="8">
        <v>2.56</v>
      </c>
      <c r="E276" s="4">
        <v>70</v>
      </c>
      <c r="F276" s="8">
        <v>4.53</v>
      </c>
      <c r="G276" s="4">
        <v>6</v>
      </c>
      <c r="H276" s="8">
        <v>0.42</v>
      </c>
      <c r="I276" s="4">
        <v>0</v>
      </c>
    </row>
    <row r="277" spans="1:9" x14ac:dyDescent="0.2">
      <c r="A277" s="2">
        <v>6</v>
      </c>
      <c r="B277" s="1" t="s">
        <v>169</v>
      </c>
      <c r="C277" s="4">
        <v>76</v>
      </c>
      <c r="D277" s="8">
        <v>2.56</v>
      </c>
      <c r="E277" s="4">
        <v>61</v>
      </c>
      <c r="F277" s="8">
        <v>3.95</v>
      </c>
      <c r="G277" s="4">
        <v>15</v>
      </c>
      <c r="H277" s="8">
        <v>1.06</v>
      </c>
      <c r="I277" s="4">
        <v>0</v>
      </c>
    </row>
    <row r="278" spans="1:9" x14ac:dyDescent="0.2">
      <c r="A278" s="2">
        <v>8</v>
      </c>
      <c r="B278" s="1" t="s">
        <v>171</v>
      </c>
      <c r="C278" s="4">
        <v>74</v>
      </c>
      <c r="D278" s="8">
        <v>2.4900000000000002</v>
      </c>
      <c r="E278" s="4">
        <v>63</v>
      </c>
      <c r="F278" s="8">
        <v>4.08</v>
      </c>
      <c r="G278" s="4">
        <v>11</v>
      </c>
      <c r="H278" s="8">
        <v>0.78</v>
      </c>
      <c r="I278" s="4">
        <v>0</v>
      </c>
    </row>
    <row r="279" spans="1:9" x14ac:dyDescent="0.2">
      <c r="A279" s="2">
        <v>9</v>
      </c>
      <c r="B279" s="1" t="s">
        <v>157</v>
      </c>
      <c r="C279" s="4">
        <v>64</v>
      </c>
      <c r="D279" s="8">
        <v>2.16</v>
      </c>
      <c r="E279" s="4">
        <v>51</v>
      </c>
      <c r="F279" s="8">
        <v>3.3</v>
      </c>
      <c r="G279" s="4">
        <v>13</v>
      </c>
      <c r="H279" s="8">
        <v>0.92</v>
      </c>
      <c r="I279" s="4">
        <v>0</v>
      </c>
    </row>
    <row r="280" spans="1:9" x14ac:dyDescent="0.2">
      <c r="A280" s="2">
        <v>10</v>
      </c>
      <c r="B280" s="1" t="s">
        <v>156</v>
      </c>
      <c r="C280" s="4">
        <v>60</v>
      </c>
      <c r="D280" s="8">
        <v>2.02</v>
      </c>
      <c r="E280" s="4">
        <v>51</v>
      </c>
      <c r="F280" s="8">
        <v>3.3</v>
      </c>
      <c r="G280" s="4">
        <v>9</v>
      </c>
      <c r="H280" s="8">
        <v>0.64</v>
      </c>
      <c r="I280" s="4">
        <v>0</v>
      </c>
    </row>
    <row r="281" spans="1:9" x14ac:dyDescent="0.2">
      <c r="A281" s="2">
        <v>11</v>
      </c>
      <c r="B281" s="1" t="s">
        <v>168</v>
      </c>
      <c r="C281" s="4">
        <v>52</v>
      </c>
      <c r="D281" s="8">
        <v>1.75</v>
      </c>
      <c r="E281" s="4">
        <v>50</v>
      </c>
      <c r="F281" s="8">
        <v>3.23</v>
      </c>
      <c r="G281" s="4">
        <v>2</v>
      </c>
      <c r="H281" s="8">
        <v>0.14000000000000001</v>
      </c>
      <c r="I281" s="4">
        <v>0</v>
      </c>
    </row>
    <row r="282" spans="1:9" x14ac:dyDescent="0.2">
      <c r="A282" s="2">
        <v>12</v>
      </c>
      <c r="B282" s="1" t="s">
        <v>159</v>
      </c>
      <c r="C282" s="4">
        <v>50</v>
      </c>
      <c r="D282" s="8">
        <v>1.69</v>
      </c>
      <c r="E282" s="4">
        <v>8</v>
      </c>
      <c r="F282" s="8">
        <v>0.52</v>
      </c>
      <c r="G282" s="4">
        <v>42</v>
      </c>
      <c r="H282" s="8">
        <v>2.97</v>
      </c>
      <c r="I282" s="4">
        <v>0</v>
      </c>
    </row>
    <row r="283" spans="1:9" x14ac:dyDescent="0.2">
      <c r="A283" s="2">
        <v>13</v>
      </c>
      <c r="B283" s="1" t="s">
        <v>154</v>
      </c>
      <c r="C283" s="4">
        <v>47</v>
      </c>
      <c r="D283" s="8">
        <v>1.58</v>
      </c>
      <c r="E283" s="4">
        <v>11</v>
      </c>
      <c r="F283" s="8">
        <v>0.71</v>
      </c>
      <c r="G283" s="4">
        <v>36</v>
      </c>
      <c r="H283" s="8">
        <v>2.54</v>
      </c>
      <c r="I283" s="4">
        <v>0</v>
      </c>
    </row>
    <row r="284" spans="1:9" x14ac:dyDescent="0.2">
      <c r="A284" s="2">
        <v>14</v>
      </c>
      <c r="B284" s="1" t="s">
        <v>161</v>
      </c>
      <c r="C284" s="4">
        <v>42</v>
      </c>
      <c r="D284" s="8">
        <v>1.42</v>
      </c>
      <c r="E284" s="4">
        <v>32</v>
      </c>
      <c r="F284" s="8">
        <v>2.0699999999999998</v>
      </c>
      <c r="G284" s="4">
        <v>10</v>
      </c>
      <c r="H284" s="8">
        <v>0.71</v>
      </c>
      <c r="I284" s="4">
        <v>0</v>
      </c>
    </row>
    <row r="285" spans="1:9" x14ac:dyDescent="0.2">
      <c r="A285" s="2">
        <v>15</v>
      </c>
      <c r="B285" s="1" t="s">
        <v>162</v>
      </c>
      <c r="C285" s="4">
        <v>39</v>
      </c>
      <c r="D285" s="8">
        <v>1.31</v>
      </c>
      <c r="E285" s="4">
        <v>4</v>
      </c>
      <c r="F285" s="8">
        <v>0.26</v>
      </c>
      <c r="G285" s="4">
        <v>35</v>
      </c>
      <c r="H285" s="8">
        <v>2.4700000000000002</v>
      </c>
      <c r="I285" s="4">
        <v>0</v>
      </c>
    </row>
    <row r="286" spans="1:9" x14ac:dyDescent="0.2">
      <c r="A286" s="2">
        <v>16</v>
      </c>
      <c r="B286" s="1" t="s">
        <v>179</v>
      </c>
      <c r="C286" s="4">
        <v>38</v>
      </c>
      <c r="D286" s="8">
        <v>1.28</v>
      </c>
      <c r="E286" s="4">
        <v>9</v>
      </c>
      <c r="F286" s="8">
        <v>0.57999999999999996</v>
      </c>
      <c r="G286" s="4">
        <v>29</v>
      </c>
      <c r="H286" s="8">
        <v>2.0499999999999998</v>
      </c>
      <c r="I286" s="4">
        <v>0</v>
      </c>
    </row>
    <row r="287" spans="1:9" x14ac:dyDescent="0.2">
      <c r="A287" s="2">
        <v>17</v>
      </c>
      <c r="B287" s="1" t="s">
        <v>206</v>
      </c>
      <c r="C287" s="4">
        <v>35</v>
      </c>
      <c r="D287" s="8">
        <v>1.18</v>
      </c>
      <c r="E287" s="4">
        <v>16</v>
      </c>
      <c r="F287" s="8">
        <v>1.03</v>
      </c>
      <c r="G287" s="4">
        <v>19</v>
      </c>
      <c r="H287" s="8">
        <v>1.34</v>
      </c>
      <c r="I287" s="4">
        <v>0</v>
      </c>
    </row>
    <row r="288" spans="1:9" x14ac:dyDescent="0.2">
      <c r="A288" s="2">
        <v>18</v>
      </c>
      <c r="B288" s="1" t="s">
        <v>158</v>
      </c>
      <c r="C288" s="4">
        <v>34</v>
      </c>
      <c r="D288" s="8">
        <v>1.1499999999999999</v>
      </c>
      <c r="E288" s="4">
        <v>9</v>
      </c>
      <c r="F288" s="8">
        <v>0.57999999999999996</v>
      </c>
      <c r="G288" s="4">
        <v>25</v>
      </c>
      <c r="H288" s="8">
        <v>1.77</v>
      </c>
      <c r="I288" s="4">
        <v>0</v>
      </c>
    </row>
    <row r="289" spans="1:9" x14ac:dyDescent="0.2">
      <c r="A289" s="2">
        <v>19</v>
      </c>
      <c r="B289" s="1" t="s">
        <v>176</v>
      </c>
      <c r="C289" s="4">
        <v>33</v>
      </c>
      <c r="D289" s="8">
        <v>1.1100000000000001</v>
      </c>
      <c r="E289" s="4">
        <v>9</v>
      </c>
      <c r="F289" s="8">
        <v>0.57999999999999996</v>
      </c>
      <c r="G289" s="4">
        <v>24</v>
      </c>
      <c r="H289" s="8">
        <v>1.7</v>
      </c>
      <c r="I289" s="4">
        <v>0</v>
      </c>
    </row>
    <row r="290" spans="1:9" x14ac:dyDescent="0.2">
      <c r="A290" s="2">
        <v>20</v>
      </c>
      <c r="B290" s="1" t="s">
        <v>205</v>
      </c>
      <c r="C290" s="4">
        <v>31</v>
      </c>
      <c r="D290" s="8">
        <v>1.05</v>
      </c>
      <c r="E290" s="4">
        <v>17</v>
      </c>
      <c r="F290" s="8">
        <v>1.1000000000000001</v>
      </c>
      <c r="G290" s="4">
        <v>14</v>
      </c>
      <c r="H290" s="8">
        <v>0.99</v>
      </c>
      <c r="I290" s="4">
        <v>0</v>
      </c>
    </row>
    <row r="291" spans="1:9" x14ac:dyDescent="0.2">
      <c r="A291" s="1"/>
      <c r="C291" s="4"/>
      <c r="D291" s="8"/>
      <c r="E291" s="4"/>
      <c r="F291" s="8"/>
      <c r="G291" s="4"/>
      <c r="H291" s="8"/>
      <c r="I291" s="4"/>
    </row>
    <row r="292" spans="1:9" x14ac:dyDescent="0.2">
      <c r="A292" s="1" t="s">
        <v>13</v>
      </c>
      <c r="C292" s="4"/>
      <c r="D292" s="8"/>
      <c r="E292" s="4"/>
      <c r="F292" s="8"/>
      <c r="G292" s="4"/>
      <c r="H292" s="8"/>
      <c r="I292" s="4"/>
    </row>
    <row r="293" spans="1:9" x14ac:dyDescent="0.2">
      <c r="A293" s="2">
        <v>1</v>
      </c>
      <c r="B293" s="1" t="s">
        <v>160</v>
      </c>
      <c r="C293" s="4">
        <v>231</v>
      </c>
      <c r="D293" s="8">
        <v>5</v>
      </c>
      <c r="E293" s="4">
        <v>99</v>
      </c>
      <c r="F293" s="8">
        <v>3.52</v>
      </c>
      <c r="G293" s="4">
        <v>132</v>
      </c>
      <c r="H293" s="8">
        <v>7.38</v>
      </c>
      <c r="I293" s="4">
        <v>0</v>
      </c>
    </row>
    <row r="294" spans="1:9" x14ac:dyDescent="0.2">
      <c r="A294" s="2">
        <v>2</v>
      </c>
      <c r="B294" s="1" t="s">
        <v>167</v>
      </c>
      <c r="C294" s="4">
        <v>139</v>
      </c>
      <c r="D294" s="8">
        <v>3.01</v>
      </c>
      <c r="E294" s="4">
        <v>129</v>
      </c>
      <c r="F294" s="8">
        <v>4.58</v>
      </c>
      <c r="G294" s="4">
        <v>10</v>
      </c>
      <c r="H294" s="8">
        <v>0.56000000000000005</v>
      </c>
      <c r="I294" s="4">
        <v>0</v>
      </c>
    </row>
    <row r="295" spans="1:9" x14ac:dyDescent="0.2">
      <c r="A295" s="2">
        <v>3</v>
      </c>
      <c r="B295" s="1" t="s">
        <v>161</v>
      </c>
      <c r="C295" s="4">
        <v>137</v>
      </c>
      <c r="D295" s="8">
        <v>2.97</v>
      </c>
      <c r="E295" s="4">
        <v>105</v>
      </c>
      <c r="F295" s="8">
        <v>3.73</v>
      </c>
      <c r="G295" s="4">
        <v>32</v>
      </c>
      <c r="H295" s="8">
        <v>1.79</v>
      </c>
      <c r="I295" s="4">
        <v>0</v>
      </c>
    </row>
    <row r="296" spans="1:9" x14ac:dyDescent="0.2">
      <c r="A296" s="2">
        <v>4</v>
      </c>
      <c r="B296" s="1" t="s">
        <v>169</v>
      </c>
      <c r="C296" s="4">
        <v>124</v>
      </c>
      <c r="D296" s="8">
        <v>2.69</v>
      </c>
      <c r="E296" s="4">
        <v>108</v>
      </c>
      <c r="F296" s="8">
        <v>3.84</v>
      </c>
      <c r="G296" s="4">
        <v>16</v>
      </c>
      <c r="H296" s="8">
        <v>0.89</v>
      </c>
      <c r="I296" s="4">
        <v>0</v>
      </c>
    </row>
    <row r="297" spans="1:9" x14ac:dyDescent="0.2">
      <c r="A297" s="2">
        <v>4</v>
      </c>
      <c r="B297" s="1" t="s">
        <v>171</v>
      </c>
      <c r="C297" s="4">
        <v>124</v>
      </c>
      <c r="D297" s="8">
        <v>2.69</v>
      </c>
      <c r="E297" s="4">
        <v>113</v>
      </c>
      <c r="F297" s="8">
        <v>4.01</v>
      </c>
      <c r="G297" s="4">
        <v>11</v>
      </c>
      <c r="H297" s="8">
        <v>0.61</v>
      </c>
      <c r="I297" s="4">
        <v>0</v>
      </c>
    </row>
    <row r="298" spans="1:9" x14ac:dyDescent="0.2">
      <c r="A298" s="2">
        <v>6</v>
      </c>
      <c r="B298" s="1" t="s">
        <v>156</v>
      </c>
      <c r="C298" s="4">
        <v>106</v>
      </c>
      <c r="D298" s="8">
        <v>2.2999999999999998</v>
      </c>
      <c r="E298" s="4">
        <v>89</v>
      </c>
      <c r="F298" s="8">
        <v>3.16</v>
      </c>
      <c r="G298" s="4">
        <v>17</v>
      </c>
      <c r="H298" s="8">
        <v>0.95</v>
      </c>
      <c r="I298" s="4">
        <v>0</v>
      </c>
    </row>
    <row r="299" spans="1:9" x14ac:dyDescent="0.2">
      <c r="A299" s="2">
        <v>7</v>
      </c>
      <c r="B299" s="1" t="s">
        <v>164</v>
      </c>
      <c r="C299" s="4">
        <v>104</v>
      </c>
      <c r="D299" s="8">
        <v>2.25</v>
      </c>
      <c r="E299" s="4">
        <v>93</v>
      </c>
      <c r="F299" s="8">
        <v>3.3</v>
      </c>
      <c r="G299" s="4">
        <v>11</v>
      </c>
      <c r="H299" s="8">
        <v>0.61</v>
      </c>
      <c r="I299" s="4">
        <v>0</v>
      </c>
    </row>
    <row r="300" spans="1:9" x14ac:dyDescent="0.2">
      <c r="A300" s="2">
        <v>8</v>
      </c>
      <c r="B300" s="1" t="s">
        <v>157</v>
      </c>
      <c r="C300" s="4">
        <v>91</v>
      </c>
      <c r="D300" s="8">
        <v>1.97</v>
      </c>
      <c r="E300" s="4">
        <v>81</v>
      </c>
      <c r="F300" s="8">
        <v>2.88</v>
      </c>
      <c r="G300" s="4">
        <v>10</v>
      </c>
      <c r="H300" s="8">
        <v>0.56000000000000005</v>
      </c>
      <c r="I300" s="4">
        <v>0</v>
      </c>
    </row>
    <row r="301" spans="1:9" x14ac:dyDescent="0.2">
      <c r="A301" s="2">
        <v>9</v>
      </c>
      <c r="B301" s="1" t="s">
        <v>168</v>
      </c>
      <c r="C301" s="4">
        <v>85</v>
      </c>
      <c r="D301" s="8">
        <v>1.84</v>
      </c>
      <c r="E301" s="4">
        <v>84</v>
      </c>
      <c r="F301" s="8">
        <v>2.98</v>
      </c>
      <c r="G301" s="4">
        <v>1</v>
      </c>
      <c r="H301" s="8">
        <v>0.06</v>
      </c>
      <c r="I301" s="4">
        <v>0</v>
      </c>
    </row>
    <row r="302" spans="1:9" x14ac:dyDescent="0.2">
      <c r="A302" s="2">
        <v>10</v>
      </c>
      <c r="B302" s="1" t="s">
        <v>165</v>
      </c>
      <c r="C302" s="4">
        <v>83</v>
      </c>
      <c r="D302" s="8">
        <v>1.8</v>
      </c>
      <c r="E302" s="4">
        <v>77</v>
      </c>
      <c r="F302" s="8">
        <v>2.74</v>
      </c>
      <c r="G302" s="4">
        <v>6</v>
      </c>
      <c r="H302" s="8">
        <v>0.34</v>
      </c>
      <c r="I302" s="4">
        <v>0</v>
      </c>
    </row>
    <row r="303" spans="1:9" x14ac:dyDescent="0.2">
      <c r="A303" s="2">
        <v>11</v>
      </c>
      <c r="B303" s="1" t="s">
        <v>175</v>
      </c>
      <c r="C303" s="4">
        <v>82</v>
      </c>
      <c r="D303" s="8">
        <v>1.78</v>
      </c>
      <c r="E303" s="4">
        <v>37</v>
      </c>
      <c r="F303" s="8">
        <v>1.31</v>
      </c>
      <c r="G303" s="4">
        <v>45</v>
      </c>
      <c r="H303" s="8">
        <v>2.52</v>
      </c>
      <c r="I303" s="4">
        <v>0</v>
      </c>
    </row>
    <row r="304" spans="1:9" x14ac:dyDescent="0.2">
      <c r="A304" s="2">
        <v>12</v>
      </c>
      <c r="B304" s="1" t="s">
        <v>208</v>
      </c>
      <c r="C304" s="4">
        <v>81</v>
      </c>
      <c r="D304" s="8">
        <v>1.75</v>
      </c>
      <c r="E304" s="4">
        <v>51</v>
      </c>
      <c r="F304" s="8">
        <v>1.81</v>
      </c>
      <c r="G304" s="4">
        <v>30</v>
      </c>
      <c r="H304" s="8">
        <v>1.68</v>
      </c>
      <c r="I304" s="4">
        <v>0</v>
      </c>
    </row>
    <row r="305" spans="1:9" x14ac:dyDescent="0.2">
      <c r="A305" s="2">
        <v>13</v>
      </c>
      <c r="B305" s="1" t="s">
        <v>202</v>
      </c>
      <c r="C305" s="4">
        <v>69</v>
      </c>
      <c r="D305" s="8">
        <v>1.49</v>
      </c>
      <c r="E305" s="4">
        <v>30</v>
      </c>
      <c r="F305" s="8">
        <v>1.07</v>
      </c>
      <c r="G305" s="4">
        <v>39</v>
      </c>
      <c r="H305" s="8">
        <v>2.1800000000000002</v>
      </c>
      <c r="I305" s="4">
        <v>0</v>
      </c>
    </row>
    <row r="306" spans="1:9" x14ac:dyDescent="0.2">
      <c r="A306" s="2">
        <v>14</v>
      </c>
      <c r="B306" s="1" t="s">
        <v>207</v>
      </c>
      <c r="C306" s="4">
        <v>65</v>
      </c>
      <c r="D306" s="8">
        <v>1.41</v>
      </c>
      <c r="E306" s="4">
        <v>57</v>
      </c>
      <c r="F306" s="8">
        <v>2.02</v>
      </c>
      <c r="G306" s="4">
        <v>8</v>
      </c>
      <c r="H306" s="8">
        <v>0.45</v>
      </c>
      <c r="I306" s="4">
        <v>0</v>
      </c>
    </row>
    <row r="307" spans="1:9" x14ac:dyDescent="0.2">
      <c r="A307" s="2">
        <v>15</v>
      </c>
      <c r="B307" s="1" t="s">
        <v>183</v>
      </c>
      <c r="C307" s="4">
        <v>63</v>
      </c>
      <c r="D307" s="8">
        <v>1.36</v>
      </c>
      <c r="E307" s="4">
        <v>60</v>
      </c>
      <c r="F307" s="8">
        <v>2.13</v>
      </c>
      <c r="G307" s="4">
        <v>3</v>
      </c>
      <c r="H307" s="8">
        <v>0.17</v>
      </c>
      <c r="I307" s="4">
        <v>0</v>
      </c>
    </row>
    <row r="308" spans="1:9" x14ac:dyDescent="0.2">
      <c r="A308" s="2">
        <v>16</v>
      </c>
      <c r="B308" s="1" t="s">
        <v>158</v>
      </c>
      <c r="C308" s="4">
        <v>60</v>
      </c>
      <c r="D308" s="8">
        <v>1.3</v>
      </c>
      <c r="E308" s="4">
        <v>15</v>
      </c>
      <c r="F308" s="8">
        <v>0.53</v>
      </c>
      <c r="G308" s="4">
        <v>45</v>
      </c>
      <c r="H308" s="8">
        <v>2.52</v>
      </c>
      <c r="I308" s="4">
        <v>0</v>
      </c>
    </row>
    <row r="309" spans="1:9" x14ac:dyDescent="0.2">
      <c r="A309" s="2">
        <v>17</v>
      </c>
      <c r="B309" s="1" t="s">
        <v>154</v>
      </c>
      <c r="C309" s="4">
        <v>59</v>
      </c>
      <c r="D309" s="8">
        <v>1.28</v>
      </c>
      <c r="E309" s="4">
        <v>18</v>
      </c>
      <c r="F309" s="8">
        <v>0.64</v>
      </c>
      <c r="G309" s="4">
        <v>41</v>
      </c>
      <c r="H309" s="8">
        <v>2.29</v>
      </c>
      <c r="I309" s="4">
        <v>0</v>
      </c>
    </row>
    <row r="310" spans="1:9" x14ac:dyDescent="0.2">
      <c r="A310" s="2">
        <v>17</v>
      </c>
      <c r="B310" s="1" t="s">
        <v>176</v>
      </c>
      <c r="C310" s="4">
        <v>59</v>
      </c>
      <c r="D310" s="8">
        <v>1.28</v>
      </c>
      <c r="E310" s="4">
        <v>35</v>
      </c>
      <c r="F310" s="8">
        <v>1.24</v>
      </c>
      <c r="G310" s="4">
        <v>24</v>
      </c>
      <c r="H310" s="8">
        <v>1.34</v>
      </c>
      <c r="I310" s="4">
        <v>0</v>
      </c>
    </row>
    <row r="311" spans="1:9" x14ac:dyDescent="0.2">
      <c r="A311" s="2">
        <v>19</v>
      </c>
      <c r="B311" s="1" t="s">
        <v>153</v>
      </c>
      <c r="C311" s="4">
        <v>57</v>
      </c>
      <c r="D311" s="8">
        <v>1.23</v>
      </c>
      <c r="E311" s="4">
        <v>16</v>
      </c>
      <c r="F311" s="8">
        <v>0.56999999999999995</v>
      </c>
      <c r="G311" s="4">
        <v>41</v>
      </c>
      <c r="H311" s="8">
        <v>2.29</v>
      </c>
      <c r="I311" s="4">
        <v>0</v>
      </c>
    </row>
    <row r="312" spans="1:9" x14ac:dyDescent="0.2">
      <c r="A312" s="2">
        <v>20</v>
      </c>
      <c r="B312" s="1" t="s">
        <v>209</v>
      </c>
      <c r="C312" s="4">
        <v>55</v>
      </c>
      <c r="D312" s="8">
        <v>1.19</v>
      </c>
      <c r="E312" s="4">
        <v>0</v>
      </c>
      <c r="F312" s="8">
        <v>0</v>
      </c>
      <c r="G312" s="4">
        <v>47</v>
      </c>
      <c r="H312" s="8">
        <v>2.63</v>
      </c>
      <c r="I312" s="4">
        <v>8</v>
      </c>
    </row>
    <row r="313" spans="1:9" x14ac:dyDescent="0.2">
      <c r="A313" s="1"/>
      <c r="C313" s="4"/>
      <c r="D313" s="8"/>
      <c r="E313" s="4"/>
      <c r="F313" s="8"/>
      <c r="G313" s="4"/>
      <c r="H313" s="8"/>
      <c r="I313" s="4"/>
    </row>
    <row r="314" spans="1:9" x14ac:dyDescent="0.2">
      <c r="A314" s="1" t="s">
        <v>14</v>
      </c>
      <c r="C314" s="4"/>
      <c r="D314" s="8"/>
      <c r="E314" s="4"/>
      <c r="F314" s="8"/>
      <c r="G314" s="4"/>
      <c r="H314" s="8"/>
      <c r="I314" s="4"/>
    </row>
    <row r="315" spans="1:9" x14ac:dyDescent="0.2">
      <c r="A315" s="2">
        <v>1</v>
      </c>
      <c r="B315" s="1" t="s">
        <v>160</v>
      </c>
      <c r="C315" s="4">
        <v>158</v>
      </c>
      <c r="D315" s="8">
        <v>7.55</v>
      </c>
      <c r="E315" s="4">
        <v>91</v>
      </c>
      <c r="F315" s="8">
        <v>7.43</v>
      </c>
      <c r="G315" s="4">
        <v>67</v>
      </c>
      <c r="H315" s="8">
        <v>7.75</v>
      </c>
      <c r="I315" s="4">
        <v>0</v>
      </c>
    </row>
    <row r="316" spans="1:9" x14ac:dyDescent="0.2">
      <c r="A316" s="2">
        <v>2</v>
      </c>
      <c r="B316" s="1" t="s">
        <v>169</v>
      </c>
      <c r="C316" s="4">
        <v>78</v>
      </c>
      <c r="D316" s="8">
        <v>3.73</v>
      </c>
      <c r="E316" s="4">
        <v>69</v>
      </c>
      <c r="F316" s="8">
        <v>5.63</v>
      </c>
      <c r="G316" s="4">
        <v>9</v>
      </c>
      <c r="H316" s="8">
        <v>1.04</v>
      </c>
      <c r="I316" s="4">
        <v>0</v>
      </c>
    </row>
    <row r="317" spans="1:9" x14ac:dyDescent="0.2">
      <c r="A317" s="2">
        <v>3</v>
      </c>
      <c r="B317" s="1" t="s">
        <v>171</v>
      </c>
      <c r="C317" s="4">
        <v>76</v>
      </c>
      <c r="D317" s="8">
        <v>3.63</v>
      </c>
      <c r="E317" s="4">
        <v>70</v>
      </c>
      <c r="F317" s="8">
        <v>5.71</v>
      </c>
      <c r="G317" s="4">
        <v>6</v>
      </c>
      <c r="H317" s="8">
        <v>0.69</v>
      </c>
      <c r="I317" s="4">
        <v>0</v>
      </c>
    </row>
    <row r="318" spans="1:9" x14ac:dyDescent="0.2">
      <c r="A318" s="2">
        <v>4</v>
      </c>
      <c r="B318" s="1" t="s">
        <v>167</v>
      </c>
      <c r="C318" s="4">
        <v>69</v>
      </c>
      <c r="D318" s="8">
        <v>3.3</v>
      </c>
      <c r="E318" s="4">
        <v>66</v>
      </c>
      <c r="F318" s="8">
        <v>5.39</v>
      </c>
      <c r="G318" s="4">
        <v>3</v>
      </c>
      <c r="H318" s="8">
        <v>0.35</v>
      </c>
      <c r="I318" s="4">
        <v>0</v>
      </c>
    </row>
    <row r="319" spans="1:9" x14ac:dyDescent="0.2">
      <c r="A319" s="2">
        <v>5</v>
      </c>
      <c r="B319" s="1" t="s">
        <v>165</v>
      </c>
      <c r="C319" s="4">
        <v>65</v>
      </c>
      <c r="D319" s="8">
        <v>3.11</v>
      </c>
      <c r="E319" s="4">
        <v>63</v>
      </c>
      <c r="F319" s="8">
        <v>5.14</v>
      </c>
      <c r="G319" s="4">
        <v>2</v>
      </c>
      <c r="H319" s="8">
        <v>0.23</v>
      </c>
      <c r="I319" s="4">
        <v>0</v>
      </c>
    </row>
    <row r="320" spans="1:9" x14ac:dyDescent="0.2">
      <c r="A320" s="2">
        <v>6</v>
      </c>
      <c r="B320" s="1" t="s">
        <v>157</v>
      </c>
      <c r="C320" s="4">
        <v>59</v>
      </c>
      <c r="D320" s="8">
        <v>2.82</v>
      </c>
      <c r="E320" s="4">
        <v>49</v>
      </c>
      <c r="F320" s="8">
        <v>4</v>
      </c>
      <c r="G320" s="4">
        <v>10</v>
      </c>
      <c r="H320" s="8">
        <v>1.1599999999999999</v>
      </c>
      <c r="I320" s="4">
        <v>0</v>
      </c>
    </row>
    <row r="321" spans="1:9" x14ac:dyDescent="0.2">
      <c r="A321" s="2">
        <v>7</v>
      </c>
      <c r="B321" s="1" t="s">
        <v>156</v>
      </c>
      <c r="C321" s="4">
        <v>57</v>
      </c>
      <c r="D321" s="8">
        <v>2.72</v>
      </c>
      <c r="E321" s="4">
        <v>44</v>
      </c>
      <c r="F321" s="8">
        <v>3.59</v>
      </c>
      <c r="G321" s="4">
        <v>13</v>
      </c>
      <c r="H321" s="8">
        <v>1.5</v>
      </c>
      <c r="I321" s="4">
        <v>0</v>
      </c>
    </row>
    <row r="322" spans="1:9" x14ac:dyDescent="0.2">
      <c r="A322" s="2">
        <v>8</v>
      </c>
      <c r="B322" s="1" t="s">
        <v>168</v>
      </c>
      <c r="C322" s="4">
        <v>56</v>
      </c>
      <c r="D322" s="8">
        <v>2.68</v>
      </c>
      <c r="E322" s="4">
        <v>54</v>
      </c>
      <c r="F322" s="8">
        <v>4.41</v>
      </c>
      <c r="G322" s="4">
        <v>2</v>
      </c>
      <c r="H322" s="8">
        <v>0.23</v>
      </c>
      <c r="I322" s="4">
        <v>0</v>
      </c>
    </row>
    <row r="323" spans="1:9" x14ac:dyDescent="0.2">
      <c r="A323" s="2">
        <v>9</v>
      </c>
      <c r="B323" s="1" t="s">
        <v>164</v>
      </c>
      <c r="C323" s="4">
        <v>52</v>
      </c>
      <c r="D323" s="8">
        <v>2.4900000000000002</v>
      </c>
      <c r="E323" s="4">
        <v>49</v>
      </c>
      <c r="F323" s="8">
        <v>4</v>
      </c>
      <c r="G323" s="4">
        <v>3</v>
      </c>
      <c r="H323" s="8">
        <v>0.35</v>
      </c>
      <c r="I323" s="4">
        <v>0</v>
      </c>
    </row>
    <row r="324" spans="1:9" x14ac:dyDescent="0.2">
      <c r="A324" s="2">
        <v>10</v>
      </c>
      <c r="B324" s="1" t="s">
        <v>161</v>
      </c>
      <c r="C324" s="4">
        <v>47</v>
      </c>
      <c r="D324" s="8">
        <v>2.25</v>
      </c>
      <c r="E324" s="4">
        <v>40</v>
      </c>
      <c r="F324" s="8">
        <v>3.27</v>
      </c>
      <c r="G324" s="4">
        <v>7</v>
      </c>
      <c r="H324" s="8">
        <v>0.81</v>
      </c>
      <c r="I324" s="4">
        <v>0</v>
      </c>
    </row>
    <row r="325" spans="1:9" x14ac:dyDescent="0.2">
      <c r="A325" s="2">
        <v>11</v>
      </c>
      <c r="B325" s="1" t="s">
        <v>155</v>
      </c>
      <c r="C325" s="4">
        <v>38</v>
      </c>
      <c r="D325" s="8">
        <v>1.82</v>
      </c>
      <c r="E325" s="4">
        <v>24</v>
      </c>
      <c r="F325" s="8">
        <v>1.96</v>
      </c>
      <c r="G325" s="4">
        <v>14</v>
      </c>
      <c r="H325" s="8">
        <v>1.62</v>
      </c>
      <c r="I325" s="4">
        <v>0</v>
      </c>
    </row>
    <row r="326" spans="1:9" x14ac:dyDescent="0.2">
      <c r="A326" s="2">
        <v>12</v>
      </c>
      <c r="B326" s="1" t="s">
        <v>174</v>
      </c>
      <c r="C326" s="4">
        <v>33</v>
      </c>
      <c r="D326" s="8">
        <v>1.58</v>
      </c>
      <c r="E326" s="4">
        <v>9</v>
      </c>
      <c r="F326" s="8">
        <v>0.73</v>
      </c>
      <c r="G326" s="4">
        <v>24</v>
      </c>
      <c r="H326" s="8">
        <v>2.77</v>
      </c>
      <c r="I326" s="4">
        <v>0</v>
      </c>
    </row>
    <row r="327" spans="1:9" x14ac:dyDescent="0.2">
      <c r="A327" s="2">
        <v>13</v>
      </c>
      <c r="B327" s="1" t="s">
        <v>158</v>
      </c>
      <c r="C327" s="4">
        <v>30</v>
      </c>
      <c r="D327" s="8">
        <v>1.43</v>
      </c>
      <c r="E327" s="4">
        <v>7</v>
      </c>
      <c r="F327" s="8">
        <v>0.56999999999999995</v>
      </c>
      <c r="G327" s="4">
        <v>23</v>
      </c>
      <c r="H327" s="8">
        <v>2.66</v>
      </c>
      <c r="I327" s="4">
        <v>0</v>
      </c>
    </row>
    <row r="328" spans="1:9" x14ac:dyDescent="0.2">
      <c r="A328" s="2">
        <v>13</v>
      </c>
      <c r="B328" s="1" t="s">
        <v>183</v>
      </c>
      <c r="C328" s="4">
        <v>30</v>
      </c>
      <c r="D328" s="8">
        <v>1.43</v>
      </c>
      <c r="E328" s="4">
        <v>29</v>
      </c>
      <c r="F328" s="8">
        <v>2.37</v>
      </c>
      <c r="G328" s="4">
        <v>1</v>
      </c>
      <c r="H328" s="8">
        <v>0.12</v>
      </c>
      <c r="I328" s="4">
        <v>0</v>
      </c>
    </row>
    <row r="329" spans="1:9" x14ac:dyDescent="0.2">
      <c r="A329" s="2">
        <v>13</v>
      </c>
      <c r="B329" s="1" t="s">
        <v>170</v>
      </c>
      <c r="C329" s="4">
        <v>30</v>
      </c>
      <c r="D329" s="8">
        <v>1.43</v>
      </c>
      <c r="E329" s="4">
        <v>27</v>
      </c>
      <c r="F329" s="8">
        <v>2.2000000000000002</v>
      </c>
      <c r="G329" s="4">
        <v>3</v>
      </c>
      <c r="H329" s="8">
        <v>0.35</v>
      </c>
      <c r="I329" s="4">
        <v>0</v>
      </c>
    </row>
    <row r="330" spans="1:9" x14ac:dyDescent="0.2">
      <c r="A330" s="2">
        <v>16</v>
      </c>
      <c r="B330" s="1" t="s">
        <v>159</v>
      </c>
      <c r="C330" s="4">
        <v>28</v>
      </c>
      <c r="D330" s="8">
        <v>1.34</v>
      </c>
      <c r="E330" s="4">
        <v>8</v>
      </c>
      <c r="F330" s="8">
        <v>0.65</v>
      </c>
      <c r="G330" s="4">
        <v>20</v>
      </c>
      <c r="H330" s="8">
        <v>2.31</v>
      </c>
      <c r="I330" s="4">
        <v>0</v>
      </c>
    </row>
    <row r="331" spans="1:9" x14ac:dyDescent="0.2">
      <c r="A331" s="2">
        <v>16</v>
      </c>
      <c r="B331" s="1" t="s">
        <v>211</v>
      </c>
      <c r="C331" s="4">
        <v>28</v>
      </c>
      <c r="D331" s="8">
        <v>1.34</v>
      </c>
      <c r="E331" s="4">
        <v>28</v>
      </c>
      <c r="F331" s="8">
        <v>2.29</v>
      </c>
      <c r="G331" s="4">
        <v>0</v>
      </c>
      <c r="H331" s="8">
        <v>0</v>
      </c>
      <c r="I331" s="4">
        <v>0</v>
      </c>
    </row>
    <row r="332" spans="1:9" x14ac:dyDescent="0.2">
      <c r="A332" s="2">
        <v>18</v>
      </c>
      <c r="B332" s="1" t="s">
        <v>176</v>
      </c>
      <c r="C332" s="4">
        <v>27</v>
      </c>
      <c r="D332" s="8">
        <v>1.29</v>
      </c>
      <c r="E332" s="4">
        <v>15</v>
      </c>
      <c r="F332" s="8">
        <v>1.22</v>
      </c>
      <c r="G332" s="4">
        <v>12</v>
      </c>
      <c r="H332" s="8">
        <v>1.39</v>
      </c>
      <c r="I332" s="4">
        <v>0</v>
      </c>
    </row>
    <row r="333" spans="1:9" x14ac:dyDescent="0.2">
      <c r="A333" s="2">
        <v>19</v>
      </c>
      <c r="B333" s="1" t="s">
        <v>153</v>
      </c>
      <c r="C333" s="4">
        <v>26</v>
      </c>
      <c r="D333" s="8">
        <v>1.24</v>
      </c>
      <c r="E333" s="4">
        <v>2</v>
      </c>
      <c r="F333" s="8">
        <v>0.16</v>
      </c>
      <c r="G333" s="4">
        <v>24</v>
      </c>
      <c r="H333" s="8">
        <v>2.77</v>
      </c>
      <c r="I333" s="4">
        <v>0</v>
      </c>
    </row>
    <row r="334" spans="1:9" x14ac:dyDescent="0.2">
      <c r="A334" s="2">
        <v>20</v>
      </c>
      <c r="B334" s="1" t="s">
        <v>152</v>
      </c>
      <c r="C334" s="4">
        <v>25</v>
      </c>
      <c r="D334" s="8">
        <v>1.2</v>
      </c>
      <c r="E334" s="4">
        <v>5</v>
      </c>
      <c r="F334" s="8">
        <v>0.41</v>
      </c>
      <c r="G334" s="4">
        <v>20</v>
      </c>
      <c r="H334" s="8">
        <v>2.31</v>
      </c>
      <c r="I334" s="4">
        <v>0</v>
      </c>
    </row>
    <row r="335" spans="1:9" x14ac:dyDescent="0.2">
      <c r="A335" s="2">
        <v>20</v>
      </c>
      <c r="B335" s="1" t="s">
        <v>210</v>
      </c>
      <c r="C335" s="4">
        <v>25</v>
      </c>
      <c r="D335" s="8">
        <v>1.2</v>
      </c>
      <c r="E335" s="4">
        <v>7</v>
      </c>
      <c r="F335" s="8">
        <v>0.56999999999999995</v>
      </c>
      <c r="G335" s="4">
        <v>18</v>
      </c>
      <c r="H335" s="8">
        <v>2.08</v>
      </c>
      <c r="I335" s="4">
        <v>0</v>
      </c>
    </row>
    <row r="336" spans="1:9" x14ac:dyDescent="0.2">
      <c r="A336" s="2">
        <v>20</v>
      </c>
      <c r="B336" s="1" t="s">
        <v>205</v>
      </c>
      <c r="C336" s="4">
        <v>25</v>
      </c>
      <c r="D336" s="8">
        <v>1.2</v>
      </c>
      <c r="E336" s="4">
        <v>16</v>
      </c>
      <c r="F336" s="8">
        <v>1.31</v>
      </c>
      <c r="G336" s="4">
        <v>9</v>
      </c>
      <c r="H336" s="8">
        <v>1.04</v>
      </c>
      <c r="I336" s="4">
        <v>0</v>
      </c>
    </row>
    <row r="337" spans="1:9" x14ac:dyDescent="0.2">
      <c r="A337" s="1"/>
      <c r="C337" s="4"/>
      <c r="D337" s="8"/>
      <c r="E337" s="4"/>
      <c r="F337" s="8"/>
      <c r="G337" s="4"/>
      <c r="H337" s="8"/>
      <c r="I337" s="4"/>
    </row>
    <row r="338" spans="1:9" x14ac:dyDescent="0.2">
      <c r="A338" s="1" t="s">
        <v>15</v>
      </c>
      <c r="C338" s="4"/>
      <c r="D338" s="8"/>
      <c r="E338" s="4"/>
      <c r="F338" s="8"/>
      <c r="G338" s="4"/>
      <c r="H338" s="8"/>
      <c r="I338" s="4"/>
    </row>
    <row r="339" spans="1:9" x14ac:dyDescent="0.2">
      <c r="A339" s="2">
        <v>1</v>
      </c>
      <c r="B339" s="1" t="s">
        <v>160</v>
      </c>
      <c r="C339" s="4">
        <v>231</v>
      </c>
      <c r="D339" s="8">
        <v>7.28</v>
      </c>
      <c r="E339" s="4">
        <v>109</v>
      </c>
      <c r="F339" s="8">
        <v>6.55</v>
      </c>
      <c r="G339" s="4">
        <v>122</v>
      </c>
      <c r="H339" s="8">
        <v>8.16</v>
      </c>
      <c r="I339" s="4">
        <v>0</v>
      </c>
    </row>
    <row r="340" spans="1:9" x14ac:dyDescent="0.2">
      <c r="A340" s="2">
        <v>2</v>
      </c>
      <c r="B340" s="1" t="s">
        <v>169</v>
      </c>
      <c r="C340" s="4">
        <v>126</v>
      </c>
      <c r="D340" s="8">
        <v>3.97</v>
      </c>
      <c r="E340" s="4">
        <v>112</v>
      </c>
      <c r="F340" s="8">
        <v>6.73</v>
      </c>
      <c r="G340" s="4">
        <v>14</v>
      </c>
      <c r="H340" s="8">
        <v>0.94</v>
      </c>
      <c r="I340" s="4">
        <v>0</v>
      </c>
    </row>
    <row r="341" spans="1:9" x14ac:dyDescent="0.2">
      <c r="A341" s="2">
        <v>3</v>
      </c>
      <c r="B341" s="1" t="s">
        <v>167</v>
      </c>
      <c r="C341" s="4">
        <v>103</v>
      </c>
      <c r="D341" s="8">
        <v>3.25</v>
      </c>
      <c r="E341" s="4">
        <v>100</v>
      </c>
      <c r="F341" s="8">
        <v>6.01</v>
      </c>
      <c r="G341" s="4">
        <v>3</v>
      </c>
      <c r="H341" s="8">
        <v>0.2</v>
      </c>
      <c r="I341" s="4">
        <v>0</v>
      </c>
    </row>
    <row r="342" spans="1:9" x14ac:dyDescent="0.2">
      <c r="A342" s="2">
        <v>4</v>
      </c>
      <c r="B342" s="1" t="s">
        <v>171</v>
      </c>
      <c r="C342" s="4">
        <v>102</v>
      </c>
      <c r="D342" s="8">
        <v>3.21</v>
      </c>
      <c r="E342" s="4">
        <v>91</v>
      </c>
      <c r="F342" s="8">
        <v>5.47</v>
      </c>
      <c r="G342" s="4">
        <v>11</v>
      </c>
      <c r="H342" s="8">
        <v>0.74</v>
      </c>
      <c r="I342" s="4">
        <v>0</v>
      </c>
    </row>
    <row r="343" spans="1:9" x14ac:dyDescent="0.2">
      <c r="A343" s="2">
        <v>5</v>
      </c>
      <c r="B343" s="1" t="s">
        <v>168</v>
      </c>
      <c r="C343" s="4">
        <v>91</v>
      </c>
      <c r="D343" s="8">
        <v>2.87</v>
      </c>
      <c r="E343" s="4">
        <v>84</v>
      </c>
      <c r="F343" s="8">
        <v>5.05</v>
      </c>
      <c r="G343" s="4">
        <v>7</v>
      </c>
      <c r="H343" s="8">
        <v>0.47</v>
      </c>
      <c r="I343" s="4">
        <v>0</v>
      </c>
    </row>
    <row r="344" spans="1:9" x14ac:dyDescent="0.2">
      <c r="A344" s="2">
        <v>6</v>
      </c>
      <c r="B344" s="1" t="s">
        <v>175</v>
      </c>
      <c r="C344" s="4">
        <v>87</v>
      </c>
      <c r="D344" s="8">
        <v>2.74</v>
      </c>
      <c r="E344" s="4">
        <v>29</v>
      </c>
      <c r="F344" s="8">
        <v>1.74</v>
      </c>
      <c r="G344" s="4">
        <v>58</v>
      </c>
      <c r="H344" s="8">
        <v>3.88</v>
      </c>
      <c r="I344" s="4">
        <v>0</v>
      </c>
    </row>
    <row r="345" spans="1:9" x14ac:dyDescent="0.2">
      <c r="A345" s="2">
        <v>6</v>
      </c>
      <c r="B345" s="1" t="s">
        <v>165</v>
      </c>
      <c r="C345" s="4">
        <v>87</v>
      </c>
      <c r="D345" s="8">
        <v>2.74</v>
      </c>
      <c r="E345" s="4">
        <v>83</v>
      </c>
      <c r="F345" s="8">
        <v>4.99</v>
      </c>
      <c r="G345" s="4">
        <v>4</v>
      </c>
      <c r="H345" s="8">
        <v>0.27</v>
      </c>
      <c r="I345" s="4">
        <v>0</v>
      </c>
    </row>
    <row r="346" spans="1:9" x14ac:dyDescent="0.2">
      <c r="A346" s="2">
        <v>8</v>
      </c>
      <c r="B346" s="1" t="s">
        <v>161</v>
      </c>
      <c r="C346" s="4">
        <v>85</v>
      </c>
      <c r="D346" s="8">
        <v>2.68</v>
      </c>
      <c r="E346" s="4">
        <v>63</v>
      </c>
      <c r="F346" s="8">
        <v>3.79</v>
      </c>
      <c r="G346" s="4">
        <v>22</v>
      </c>
      <c r="H346" s="8">
        <v>1.47</v>
      </c>
      <c r="I346" s="4">
        <v>0</v>
      </c>
    </row>
    <row r="347" spans="1:9" x14ac:dyDescent="0.2">
      <c r="A347" s="2">
        <v>9</v>
      </c>
      <c r="B347" s="1" t="s">
        <v>164</v>
      </c>
      <c r="C347" s="4">
        <v>68</v>
      </c>
      <c r="D347" s="8">
        <v>2.14</v>
      </c>
      <c r="E347" s="4">
        <v>58</v>
      </c>
      <c r="F347" s="8">
        <v>3.49</v>
      </c>
      <c r="G347" s="4">
        <v>10</v>
      </c>
      <c r="H347" s="8">
        <v>0.67</v>
      </c>
      <c r="I347" s="4">
        <v>0</v>
      </c>
    </row>
    <row r="348" spans="1:9" x14ac:dyDescent="0.2">
      <c r="A348" s="2">
        <v>10</v>
      </c>
      <c r="B348" s="1" t="s">
        <v>157</v>
      </c>
      <c r="C348" s="4">
        <v>62</v>
      </c>
      <c r="D348" s="8">
        <v>1.95</v>
      </c>
      <c r="E348" s="4">
        <v>52</v>
      </c>
      <c r="F348" s="8">
        <v>3.13</v>
      </c>
      <c r="G348" s="4">
        <v>10</v>
      </c>
      <c r="H348" s="8">
        <v>0.67</v>
      </c>
      <c r="I348" s="4">
        <v>0</v>
      </c>
    </row>
    <row r="349" spans="1:9" x14ac:dyDescent="0.2">
      <c r="A349" s="2">
        <v>11</v>
      </c>
      <c r="B349" s="1" t="s">
        <v>159</v>
      </c>
      <c r="C349" s="4">
        <v>53</v>
      </c>
      <c r="D349" s="8">
        <v>1.67</v>
      </c>
      <c r="E349" s="4">
        <v>15</v>
      </c>
      <c r="F349" s="8">
        <v>0.9</v>
      </c>
      <c r="G349" s="4">
        <v>38</v>
      </c>
      <c r="H349" s="8">
        <v>2.54</v>
      </c>
      <c r="I349" s="4">
        <v>0</v>
      </c>
    </row>
    <row r="350" spans="1:9" x14ac:dyDescent="0.2">
      <c r="A350" s="2">
        <v>12</v>
      </c>
      <c r="B350" s="1" t="s">
        <v>170</v>
      </c>
      <c r="C350" s="4">
        <v>48</v>
      </c>
      <c r="D350" s="8">
        <v>1.51</v>
      </c>
      <c r="E350" s="4">
        <v>39</v>
      </c>
      <c r="F350" s="8">
        <v>2.34</v>
      </c>
      <c r="G350" s="4">
        <v>8</v>
      </c>
      <c r="H350" s="8">
        <v>0.53</v>
      </c>
      <c r="I350" s="4">
        <v>1</v>
      </c>
    </row>
    <row r="351" spans="1:9" x14ac:dyDescent="0.2">
      <c r="A351" s="2">
        <v>13</v>
      </c>
      <c r="B351" s="1" t="s">
        <v>176</v>
      </c>
      <c r="C351" s="4">
        <v>46</v>
      </c>
      <c r="D351" s="8">
        <v>1.45</v>
      </c>
      <c r="E351" s="4">
        <v>24</v>
      </c>
      <c r="F351" s="8">
        <v>1.44</v>
      </c>
      <c r="G351" s="4">
        <v>22</v>
      </c>
      <c r="H351" s="8">
        <v>1.47</v>
      </c>
      <c r="I351" s="4">
        <v>0</v>
      </c>
    </row>
    <row r="352" spans="1:9" x14ac:dyDescent="0.2">
      <c r="A352" s="2">
        <v>14</v>
      </c>
      <c r="B352" s="1" t="s">
        <v>162</v>
      </c>
      <c r="C352" s="4">
        <v>45</v>
      </c>
      <c r="D352" s="8">
        <v>1.42</v>
      </c>
      <c r="E352" s="4">
        <v>6</v>
      </c>
      <c r="F352" s="8">
        <v>0.36</v>
      </c>
      <c r="G352" s="4">
        <v>39</v>
      </c>
      <c r="H352" s="8">
        <v>2.61</v>
      </c>
      <c r="I352" s="4">
        <v>0</v>
      </c>
    </row>
    <row r="353" spans="1:9" x14ac:dyDescent="0.2">
      <c r="A353" s="2">
        <v>15</v>
      </c>
      <c r="B353" s="1" t="s">
        <v>153</v>
      </c>
      <c r="C353" s="4">
        <v>43</v>
      </c>
      <c r="D353" s="8">
        <v>1.36</v>
      </c>
      <c r="E353" s="4">
        <v>7</v>
      </c>
      <c r="F353" s="8">
        <v>0.42</v>
      </c>
      <c r="G353" s="4">
        <v>36</v>
      </c>
      <c r="H353" s="8">
        <v>2.41</v>
      </c>
      <c r="I353" s="4">
        <v>0</v>
      </c>
    </row>
    <row r="354" spans="1:9" x14ac:dyDescent="0.2">
      <c r="A354" s="2">
        <v>16</v>
      </c>
      <c r="B354" s="1" t="s">
        <v>156</v>
      </c>
      <c r="C354" s="4">
        <v>37</v>
      </c>
      <c r="D354" s="8">
        <v>1.17</v>
      </c>
      <c r="E354" s="4">
        <v>30</v>
      </c>
      <c r="F354" s="8">
        <v>1.8</v>
      </c>
      <c r="G354" s="4">
        <v>7</v>
      </c>
      <c r="H354" s="8">
        <v>0.47</v>
      </c>
      <c r="I354" s="4">
        <v>0</v>
      </c>
    </row>
    <row r="355" spans="1:9" x14ac:dyDescent="0.2">
      <c r="A355" s="2">
        <v>17</v>
      </c>
      <c r="B355" s="1" t="s">
        <v>210</v>
      </c>
      <c r="C355" s="4">
        <v>36</v>
      </c>
      <c r="D355" s="8">
        <v>1.1299999999999999</v>
      </c>
      <c r="E355" s="4">
        <v>7</v>
      </c>
      <c r="F355" s="8">
        <v>0.42</v>
      </c>
      <c r="G355" s="4">
        <v>29</v>
      </c>
      <c r="H355" s="8">
        <v>1.94</v>
      </c>
      <c r="I355" s="4">
        <v>0</v>
      </c>
    </row>
    <row r="356" spans="1:9" x14ac:dyDescent="0.2">
      <c r="A356" s="2">
        <v>17</v>
      </c>
      <c r="B356" s="1" t="s">
        <v>158</v>
      </c>
      <c r="C356" s="4">
        <v>36</v>
      </c>
      <c r="D356" s="8">
        <v>1.1299999999999999</v>
      </c>
      <c r="E356" s="4">
        <v>2</v>
      </c>
      <c r="F356" s="8">
        <v>0.12</v>
      </c>
      <c r="G356" s="4">
        <v>34</v>
      </c>
      <c r="H356" s="8">
        <v>2.27</v>
      </c>
      <c r="I356" s="4">
        <v>0</v>
      </c>
    </row>
    <row r="357" spans="1:9" x14ac:dyDescent="0.2">
      <c r="A357" s="2">
        <v>19</v>
      </c>
      <c r="B357" s="1" t="s">
        <v>174</v>
      </c>
      <c r="C357" s="4">
        <v>35</v>
      </c>
      <c r="D357" s="8">
        <v>1.1000000000000001</v>
      </c>
      <c r="E357" s="4">
        <v>5</v>
      </c>
      <c r="F357" s="8">
        <v>0.3</v>
      </c>
      <c r="G357" s="4">
        <v>30</v>
      </c>
      <c r="H357" s="8">
        <v>2.0099999999999998</v>
      </c>
      <c r="I357" s="4">
        <v>0</v>
      </c>
    </row>
    <row r="358" spans="1:9" x14ac:dyDescent="0.2">
      <c r="A358" s="2">
        <v>19</v>
      </c>
      <c r="B358" s="1" t="s">
        <v>205</v>
      </c>
      <c r="C358" s="4">
        <v>35</v>
      </c>
      <c r="D358" s="8">
        <v>1.1000000000000001</v>
      </c>
      <c r="E358" s="4">
        <v>26</v>
      </c>
      <c r="F358" s="8">
        <v>1.56</v>
      </c>
      <c r="G358" s="4">
        <v>9</v>
      </c>
      <c r="H358" s="8">
        <v>0.6</v>
      </c>
      <c r="I358" s="4">
        <v>0</v>
      </c>
    </row>
    <row r="359" spans="1:9" x14ac:dyDescent="0.2">
      <c r="A359" s="2">
        <v>19</v>
      </c>
      <c r="B359" s="1" t="s">
        <v>212</v>
      </c>
      <c r="C359" s="4">
        <v>35</v>
      </c>
      <c r="D359" s="8">
        <v>1.1000000000000001</v>
      </c>
      <c r="E359" s="4">
        <v>34</v>
      </c>
      <c r="F359" s="8">
        <v>2.04</v>
      </c>
      <c r="G359" s="4">
        <v>1</v>
      </c>
      <c r="H359" s="8">
        <v>7.0000000000000007E-2</v>
      </c>
      <c r="I359" s="4">
        <v>0</v>
      </c>
    </row>
    <row r="360" spans="1:9" x14ac:dyDescent="0.2">
      <c r="A360" s="2">
        <v>19</v>
      </c>
      <c r="B360" s="1" t="s">
        <v>196</v>
      </c>
      <c r="C360" s="4">
        <v>35</v>
      </c>
      <c r="D360" s="8">
        <v>1.1000000000000001</v>
      </c>
      <c r="E360" s="4">
        <v>17</v>
      </c>
      <c r="F360" s="8">
        <v>1.02</v>
      </c>
      <c r="G360" s="4">
        <v>18</v>
      </c>
      <c r="H360" s="8">
        <v>1.2</v>
      </c>
      <c r="I360" s="4">
        <v>0</v>
      </c>
    </row>
    <row r="361" spans="1:9" x14ac:dyDescent="0.2">
      <c r="A361" s="1"/>
      <c r="C361" s="4"/>
      <c r="D361" s="8"/>
      <c r="E361" s="4"/>
      <c r="F361" s="8"/>
      <c r="G361" s="4"/>
      <c r="H361" s="8"/>
      <c r="I361" s="4"/>
    </row>
    <row r="362" spans="1:9" x14ac:dyDescent="0.2">
      <c r="A362" s="1" t="s">
        <v>16</v>
      </c>
      <c r="C362" s="4"/>
      <c r="D362" s="8"/>
      <c r="E362" s="4"/>
      <c r="F362" s="8"/>
      <c r="G362" s="4"/>
      <c r="H362" s="8"/>
      <c r="I362" s="4"/>
    </row>
    <row r="363" spans="1:9" x14ac:dyDescent="0.2">
      <c r="A363" s="2">
        <v>1</v>
      </c>
      <c r="B363" s="1" t="s">
        <v>160</v>
      </c>
      <c r="C363" s="4">
        <v>268</v>
      </c>
      <c r="D363" s="8">
        <v>8.93</v>
      </c>
      <c r="E363" s="4">
        <v>104</v>
      </c>
      <c r="F363" s="8">
        <v>6.91</v>
      </c>
      <c r="G363" s="4">
        <v>164</v>
      </c>
      <c r="H363" s="8">
        <v>10.97</v>
      </c>
      <c r="I363" s="4">
        <v>0</v>
      </c>
    </row>
    <row r="364" spans="1:9" x14ac:dyDescent="0.2">
      <c r="A364" s="2">
        <v>2</v>
      </c>
      <c r="B364" s="1" t="s">
        <v>169</v>
      </c>
      <c r="C364" s="4">
        <v>135</v>
      </c>
      <c r="D364" s="8">
        <v>4.5</v>
      </c>
      <c r="E364" s="4">
        <v>121</v>
      </c>
      <c r="F364" s="8">
        <v>8.0500000000000007</v>
      </c>
      <c r="G364" s="4">
        <v>14</v>
      </c>
      <c r="H364" s="8">
        <v>0.94</v>
      </c>
      <c r="I364" s="4">
        <v>0</v>
      </c>
    </row>
    <row r="365" spans="1:9" x14ac:dyDescent="0.2">
      <c r="A365" s="2">
        <v>3</v>
      </c>
      <c r="B365" s="1" t="s">
        <v>171</v>
      </c>
      <c r="C365" s="4">
        <v>123</v>
      </c>
      <c r="D365" s="8">
        <v>4.0999999999999996</v>
      </c>
      <c r="E365" s="4">
        <v>108</v>
      </c>
      <c r="F365" s="8">
        <v>7.18</v>
      </c>
      <c r="G365" s="4">
        <v>15</v>
      </c>
      <c r="H365" s="8">
        <v>1</v>
      </c>
      <c r="I365" s="4">
        <v>0</v>
      </c>
    </row>
    <row r="366" spans="1:9" x14ac:dyDescent="0.2">
      <c r="A366" s="2">
        <v>4</v>
      </c>
      <c r="B366" s="1" t="s">
        <v>167</v>
      </c>
      <c r="C366" s="4">
        <v>95</v>
      </c>
      <c r="D366" s="8">
        <v>3.16</v>
      </c>
      <c r="E366" s="4">
        <v>89</v>
      </c>
      <c r="F366" s="8">
        <v>5.92</v>
      </c>
      <c r="G366" s="4">
        <v>6</v>
      </c>
      <c r="H366" s="8">
        <v>0.4</v>
      </c>
      <c r="I366" s="4">
        <v>0</v>
      </c>
    </row>
    <row r="367" spans="1:9" x14ac:dyDescent="0.2">
      <c r="A367" s="2">
        <v>5</v>
      </c>
      <c r="B367" s="1" t="s">
        <v>165</v>
      </c>
      <c r="C367" s="4">
        <v>84</v>
      </c>
      <c r="D367" s="8">
        <v>2.8</v>
      </c>
      <c r="E367" s="4">
        <v>76</v>
      </c>
      <c r="F367" s="8">
        <v>5.05</v>
      </c>
      <c r="G367" s="4">
        <v>8</v>
      </c>
      <c r="H367" s="8">
        <v>0.54</v>
      </c>
      <c r="I367" s="4">
        <v>0</v>
      </c>
    </row>
    <row r="368" spans="1:9" x14ac:dyDescent="0.2">
      <c r="A368" s="2">
        <v>6</v>
      </c>
      <c r="B368" s="1" t="s">
        <v>170</v>
      </c>
      <c r="C368" s="4">
        <v>77</v>
      </c>
      <c r="D368" s="8">
        <v>2.56</v>
      </c>
      <c r="E368" s="4">
        <v>54</v>
      </c>
      <c r="F368" s="8">
        <v>3.59</v>
      </c>
      <c r="G368" s="4">
        <v>23</v>
      </c>
      <c r="H368" s="8">
        <v>1.54</v>
      </c>
      <c r="I368" s="4">
        <v>0</v>
      </c>
    </row>
    <row r="369" spans="1:9" x14ac:dyDescent="0.2">
      <c r="A369" s="2">
        <v>7</v>
      </c>
      <c r="B369" s="1" t="s">
        <v>157</v>
      </c>
      <c r="C369" s="4">
        <v>76</v>
      </c>
      <c r="D369" s="8">
        <v>2.5299999999999998</v>
      </c>
      <c r="E369" s="4">
        <v>48</v>
      </c>
      <c r="F369" s="8">
        <v>3.19</v>
      </c>
      <c r="G369" s="4">
        <v>28</v>
      </c>
      <c r="H369" s="8">
        <v>1.87</v>
      </c>
      <c r="I369" s="4">
        <v>0</v>
      </c>
    </row>
    <row r="370" spans="1:9" x14ac:dyDescent="0.2">
      <c r="A370" s="2">
        <v>8</v>
      </c>
      <c r="B370" s="1" t="s">
        <v>161</v>
      </c>
      <c r="C370" s="4">
        <v>74</v>
      </c>
      <c r="D370" s="8">
        <v>2.4700000000000002</v>
      </c>
      <c r="E370" s="4">
        <v>43</v>
      </c>
      <c r="F370" s="8">
        <v>2.86</v>
      </c>
      <c r="G370" s="4">
        <v>31</v>
      </c>
      <c r="H370" s="8">
        <v>2.0699999999999998</v>
      </c>
      <c r="I370" s="4">
        <v>0</v>
      </c>
    </row>
    <row r="371" spans="1:9" x14ac:dyDescent="0.2">
      <c r="A371" s="2">
        <v>9</v>
      </c>
      <c r="B371" s="1" t="s">
        <v>158</v>
      </c>
      <c r="C371" s="4">
        <v>71</v>
      </c>
      <c r="D371" s="8">
        <v>2.37</v>
      </c>
      <c r="E371" s="4">
        <v>14</v>
      </c>
      <c r="F371" s="8">
        <v>0.93</v>
      </c>
      <c r="G371" s="4">
        <v>57</v>
      </c>
      <c r="H371" s="8">
        <v>3.81</v>
      </c>
      <c r="I371" s="4">
        <v>0</v>
      </c>
    </row>
    <row r="372" spans="1:9" x14ac:dyDescent="0.2">
      <c r="A372" s="2">
        <v>9</v>
      </c>
      <c r="B372" s="1" t="s">
        <v>164</v>
      </c>
      <c r="C372" s="4">
        <v>71</v>
      </c>
      <c r="D372" s="8">
        <v>2.37</v>
      </c>
      <c r="E372" s="4">
        <v>58</v>
      </c>
      <c r="F372" s="8">
        <v>3.86</v>
      </c>
      <c r="G372" s="4">
        <v>13</v>
      </c>
      <c r="H372" s="8">
        <v>0.87</v>
      </c>
      <c r="I372" s="4">
        <v>0</v>
      </c>
    </row>
    <row r="373" spans="1:9" x14ac:dyDescent="0.2">
      <c r="A373" s="2">
        <v>11</v>
      </c>
      <c r="B373" s="1" t="s">
        <v>162</v>
      </c>
      <c r="C373" s="4">
        <v>65</v>
      </c>
      <c r="D373" s="8">
        <v>2.17</v>
      </c>
      <c r="E373" s="4">
        <v>7</v>
      </c>
      <c r="F373" s="8">
        <v>0.47</v>
      </c>
      <c r="G373" s="4">
        <v>58</v>
      </c>
      <c r="H373" s="8">
        <v>3.88</v>
      </c>
      <c r="I373" s="4">
        <v>0</v>
      </c>
    </row>
    <row r="374" spans="1:9" x14ac:dyDescent="0.2">
      <c r="A374" s="2">
        <v>12</v>
      </c>
      <c r="B374" s="1" t="s">
        <v>159</v>
      </c>
      <c r="C374" s="4">
        <v>64</v>
      </c>
      <c r="D374" s="8">
        <v>2.13</v>
      </c>
      <c r="E374" s="4">
        <v>14</v>
      </c>
      <c r="F374" s="8">
        <v>0.93</v>
      </c>
      <c r="G374" s="4">
        <v>50</v>
      </c>
      <c r="H374" s="8">
        <v>3.34</v>
      </c>
      <c r="I374" s="4">
        <v>0</v>
      </c>
    </row>
    <row r="375" spans="1:9" x14ac:dyDescent="0.2">
      <c r="A375" s="2">
        <v>13</v>
      </c>
      <c r="B375" s="1" t="s">
        <v>155</v>
      </c>
      <c r="C375" s="4">
        <v>55</v>
      </c>
      <c r="D375" s="8">
        <v>1.83</v>
      </c>
      <c r="E375" s="4">
        <v>22</v>
      </c>
      <c r="F375" s="8">
        <v>1.46</v>
      </c>
      <c r="G375" s="4">
        <v>33</v>
      </c>
      <c r="H375" s="8">
        <v>2.21</v>
      </c>
      <c r="I375" s="4">
        <v>0</v>
      </c>
    </row>
    <row r="376" spans="1:9" x14ac:dyDescent="0.2">
      <c r="A376" s="2">
        <v>14</v>
      </c>
      <c r="B376" s="1" t="s">
        <v>166</v>
      </c>
      <c r="C376" s="4">
        <v>50</v>
      </c>
      <c r="D376" s="8">
        <v>1.67</v>
      </c>
      <c r="E376" s="4">
        <v>49</v>
      </c>
      <c r="F376" s="8">
        <v>3.26</v>
      </c>
      <c r="G376" s="4">
        <v>1</v>
      </c>
      <c r="H376" s="8">
        <v>7.0000000000000007E-2</v>
      </c>
      <c r="I376" s="4">
        <v>0</v>
      </c>
    </row>
    <row r="377" spans="1:9" x14ac:dyDescent="0.2">
      <c r="A377" s="2">
        <v>15</v>
      </c>
      <c r="B377" s="1" t="s">
        <v>156</v>
      </c>
      <c r="C377" s="4">
        <v>49</v>
      </c>
      <c r="D377" s="8">
        <v>1.63</v>
      </c>
      <c r="E377" s="4">
        <v>33</v>
      </c>
      <c r="F377" s="8">
        <v>2.19</v>
      </c>
      <c r="G377" s="4">
        <v>16</v>
      </c>
      <c r="H377" s="8">
        <v>1.07</v>
      </c>
      <c r="I377" s="4">
        <v>0</v>
      </c>
    </row>
    <row r="378" spans="1:9" x14ac:dyDescent="0.2">
      <c r="A378" s="2">
        <v>15</v>
      </c>
      <c r="B378" s="1" t="s">
        <v>168</v>
      </c>
      <c r="C378" s="4">
        <v>49</v>
      </c>
      <c r="D378" s="8">
        <v>1.63</v>
      </c>
      <c r="E378" s="4">
        <v>46</v>
      </c>
      <c r="F378" s="8">
        <v>3.06</v>
      </c>
      <c r="G378" s="4">
        <v>3</v>
      </c>
      <c r="H378" s="8">
        <v>0.2</v>
      </c>
      <c r="I378" s="4">
        <v>0</v>
      </c>
    </row>
    <row r="379" spans="1:9" x14ac:dyDescent="0.2">
      <c r="A379" s="2">
        <v>17</v>
      </c>
      <c r="B379" s="1" t="s">
        <v>163</v>
      </c>
      <c r="C379" s="4">
        <v>41</v>
      </c>
      <c r="D379" s="8">
        <v>1.37</v>
      </c>
      <c r="E379" s="4">
        <v>39</v>
      </c>
      <c r="F379" s="8">
        <v>2.59</v>
      </c>
      <c r="G379" s="4">
        <v>2</v>
      </c>
      <c r="H379" s="8">
        <v>0.13</v>
      </c>
      <c r="I379" s="4">
        <v>0</v>
      </c>
    </row>
    <row r="380" spans="1:9" x14ac:dyDescent="0.2">
      <c r="A380" s="2">
        <v>18</v>
      </c>
      <c r="B380" s="1" t="s">
        <v>176</v>
      </c>
      <c r="C380" s="4">
        <v>40</v>
      </c>
      <c r="D380" s="8">
        <v>1.33</v>
      </c>
      <c r="E380" s="4">
        <v>11</v>
      </c>
      <c r="F380" s="8">
        <v>0.73</v>
      </c>
      <c r="G380" s="4">
        <v>29</v>
      </c>
      <c r="H380" s="8">
        <v>1.94</v>
      </c>
      <c r="I380" s="4">
        <v>0</v>
      </c>
    </row>
    <row r="381" spans="1:9" x14ac:dyDescent="0.2">
      <c r="A381" s="2">
        <v>19</v>
      </c>
      <c r="B381" s="1" t="s">
        <v>211</v>
      </c>
      <c r="C381" s="4">
        <v>39</v>
      </c>
      <c r="D381" s="8">
        <v>1.3</v>
      </c>
      <c r="E381" s="4">
        <v>36</v>
      </c>
      <c r="F381" s="8">
        <v>2.39</v>
      </c>
      <c r="G381" s="4">
        <v>3</v>
      </c>
      <c r="H381" s="8">
        <v>0.2</v>
      </c>
      <c r="I381" s="4">
        <v>0</v>
      </c>
    </row>
    <row r="382" spans="1:9" x14ac:dyDescent="0.2">
      <c r="A382" s="2">
        <v>20</v>
      </c>
      <c r="B382" s="1" t="s">
        <v>195</v>
      </c>
      <c r="C382" s="4">
        <v>34</v>
      </c>
      <c r="D382" s="8">
        <v>1.1299999999999999</v>
      </c>
      <c r="E382" s="4">
        <v>19</v>
      </c>
      <c r="F382" s="8">
        <v>1.26</v>
      </c>
      <c r="G382" s="4">
        <v>15</v>
      </c>
      <c r="H382" s="8">
        <v>1</v>
      </c>
      <c r="I382" s="4">
        <v>0</v>
      </c>
    </row>
    <row r="383" spans="1:9" x14ac:dyDescent="0.2">
      <c r="A383" s="2">
        <v>20</v>
      </c>
      <c r="B383" s="1" t="s">
        <v>172</v>
      </c>
      <c r="C383" s="4">
        <v>34</v>
      </c>
      <c r="D383" s="8">
        <v>1.1299999999999999</v>
      </c>
      <c r="E383" s="4">
        <v>14</v>
      </c>
      <c r="F383" s="8">
        <v>0.93</v>
      </c>
      <c r="G383" s="4">
        <v>20</v>
      </c>
      <c r="H383" s="8">
        <v>1.34</v>
      </c>
      <c r="I383" s="4">
        <v>0</v>
      </c>
    </row>
    <row r="384" spans="1:9" x14ac:dyDescent="0.2">
      <c r="A384" s="1"/>
      <c r="C384" s="4"/>
      <c r="D384" s="8"/>
      <c r="E384" s="4"/>
      <c r="F384" s="8"/>
      <c r="G384" s="4"/>
      <c r="H384" s="8"/>
      <c r="I384" s="4"/>
    </row>
    <row r="385" spans="1:9" x14ac:dyDescent="0.2">
      <c r="A385" s="1" t="s">
        <v>17</v>
      </c>
      <c r="C385" s="4"/>
      <c r="D385" s="8"/>
      <c r="E385" s="4"/>
      <c r="F385" s="8"/>
      <c r="G385" s="4"/>
      <c r="H385" s="8"/>
      <c r="I385" s="4"/>
    </row>
    <row r="386" spans="1:9" x14ac:dyDescent="0.2">
      <c r="A386" s="2">
        <v>1</v>
      </c>
      <c r="B386" s="1" t="s">
        <v>160</v>
      </c>
      <c r="C386" s="4">
        <v>298</v>
      </c>
      <c r="D386" s="8">
        <v>9.83</v>
      </c>
      <c r="E386" s="4">
        <v>146</v>
      </c>
      <c r="F386" s="8">
        <v>8.66</v>
      </c>
      <c r="G386" s="4">
        <v>152</v>
      </c>
      <c r="H386" s="8">
        <v>11.37</v>
      </c>
      <c r="I386" s="4">
        <v>0</v>
      </c>
    </row>
    <row r="387" spans="1:9" x14ac:dyDescent="0.2">
      <c r="A387" s="2">
        <v>2</v>
      </c>
      <c r="B387" s="1" t="s">
        <v>169</v>
      </c>
      <c r="C387" s="4">
        <v>142</v>
      </c>
      <c r="D387" s="8">
        <v>4.6900000000000004</v>
      </c>
      <c r="E387" s="4">
        <v>131</v>
      </c>
      <c r="F387" s="8">
        <v>7.77</v>
      </c>
      <c r="G387" s="4">
        <v>11</v>
      </c>
      <c r="H387" s="8">
        <v>0.82</v>
      </c>
      <c r="I387" s="4">
        <v>0</v>
      </c>
    </row>
    <row r="388" spans="1:9" x14ac:dyDescent="0.2">
      <c r="A388" s="2">
        <v>3</v>
      </c>
      <c r="B388" s="1" t="s">
        <v>171</v>
      </c>
      <c r="C388" s="4">
        <v>138</v>
      </c>
      <c r="D388" s="8">
        <v>4.55</v>
      </c>
      <c r="E388" s="4">
        <v>116</v>
      </c>
      <c r="F388" s="8">
        <v>6.88</v>
      </c>
      <c r="G388" s="4">
        <v>22</v>
      </c>
      <c r="H388" s="8">
        <v>1.65</v>
      </c>
      <c r="I388" s="4">
        <v>0</v>
      </c>
    </row>
    <row r="389" spans="1:9" x14ac:dyDescent="0.2">
      <c r="A389" s="2">
        <v>4</v>
      </c>
      <c r="B389" s="1" t="s">
        <v>167</v>
      </c>
      <c r="C389" s="4">
        <v>116</v>
      </c>
      <c r="D389" s="8">
        <v>3.83</v>
      </c>
      <c r="E389" s="4">
        <v>113</v>
      </c>
      <c r="F389" s="8">
        <v>6.71</v>
      </c>
      <c r="G389" s="4">
        <v>3</v>
      </c>
      <c r="H389" s="8">
        <v>0.22</v>
      </c>
      <c r="I389" s="4">
        <v>0</v>
      </c>
    </row>
    <row r="390" spans="1:9" x14ac:dyDescent="0.2">
      <c r="A390" s="2">
        <v>5</v>
      </c>
      <c r="B390" s="1" t="s">
        <v>168</v>
      </c>
      <c r="C390" s="4">
        <v>97</v>
      </c>
      <c r="D390" s="8">
        <v>3.2</v>
      </c>
      <c r="E390" s="4">
        <v>94</v>
      </c>
      <c r="F390" s="8">
        <v>5.58</v>
      </c>
      <c r="G390" s="4">
        <v>3</v>
      </c>
      <c r="H390" s="8">
        <v>0.22</v>
      </c>
      <c r="I390" s="4">
        <v>0</v>
      </c>
    </row>
    <row r="391" spans="1:9" x14ac:dyDescent="0.2">
      <c r="A391" s="2">
        <v>6</v>
      </c>
      <c r="B391" s="1" t="s">
        <v>157</v>
      </c>
      <c r="C391" s="4">
        <v>75</v>
      </c>
      <c r="D391" s="8">
        <v>2.48</v>
      </c>
      <c r="E391" s="4">
        <v>66</v>
      </c>
      <c r="F391" s="8">
        <v>3.92</v>
      </c>
      <c r="G391" s="4">
        <v>9</v>
      </c>
      <c r="H391" s="8">
        <v>0.67</v>
      </c>
      <c r="I391" s="4">
        <v>0</v>
      </c>
    </row>
    <row r="392" spans="1:9" x14ac:dyDescent="0.2">
      <c r="A392" s="2">
        <v>7</v>
      </c>
      <c r="B392" s="1" t="s">
        <v>162</v>
      </c>
      <c r="C392" s="4">
        <v>70</v>
      </c>
      <c r="D392" s="8">
        <v>2.31</v>
      </c>
      <c r="E392" s="4">
        <v>2</v>
      </c>
      <c r="F392" s="8">
        <v>0.12</v>
      </c>
      <c r="G392" s="4">
        <v>68</v>
      </c>
      <c r="H392" s="8">
        <v>5.09</v>
      </c>
      <c r="I392" s="4">
        <v>0</v>
      </c>
    </row>
    <row r="393" spans="1:9" x14ac:dyDescent="0.2">
      <c r="A393" s="2">
        <v>8</v>
      </c>
      <c r="B393" s="1" t="s">
        <v>158</v>
      </c>
      <c r="C393" s="4">
        <v>69</v>
      </c>
      <c r="D393" s="8">
        <v>2.2799999999999998</v>
      </c>
      <c r="E393" s="4">
        <v>19</v>
      </c>
      <c r="F393" s="8">
        <v>1.1299999999999999</v>
      </c>
      <c r="G393" s="4">
        <v>49</v>
      </c>
      <c r="H393" s="8">
        <v>3.66</v>
      </c>
      <c r="I393" s="4">
        <v>1</v>
      </c>
    </row>
    <row r="394" spans="1:9" x14ac:dyDescent="0.2">
      <c r="A394" s="2">
        <v>8</v>
      </c>
      <c r="B394" s="1" t="s">
        <v>164</v>
      </c>
      <c r="C394" s="4">
        <v>69</v>
      </c>
      <c r="D394" s="8">
        <v>2.2799999999999998</v>
      </c>
      <c r="E394" s="4">
        <v>59</v>
      </c>
      <c r="F394" s="8">
        <v>3.5</v>
      </c>
      <c r="G394" s="4">
        <v>10</v>
      </c>
      <c r="H394" s="8">
        <v>0.75</v>
      </c>
      <c r="I394" s="4">
        <v>0</v>
      </c>
    </row>
    <row r="395" spans="1:9" x14ac:dyDescent="0.2">
      <c r="A395" s="2">
        <v>10</v>
      </c>
      <c r="B395" s="1" t="s">
        <v>161</v>
      </c>
      <c r="C395" s="4">
        <v>68</v>
      </c>
      <c r="D395" s="8">
        <v>2.2400000000000002</v>
      </c>
      <c r="E395" s="4">
        <v>44</v>
      </c>
      <c r="F395" s="8">
        <v>2.61</v>
      </c>
      <c r="G395" s="4">
        <v>24</v>
      </c>
      <c r="H395" s="8">
        <v>1.8</v>
      </c>
      <c r="I395" s="4">
        <v>0</v>
      </c>
    </row>
    <row r="396" spans="1:9" x14ac:dyDescent="0.2">
      <c r="A396" s="2">
        <v>10</v>
      </c>
      <c r="B396" s="1" t="s">
        <v>165</v>
      </c>
      <c r="C396" s="4">
        <v>68</v>
      </c>
      <c r="D396" s="8">
        <v>2.2400000000000002</v>
      </c>
      <c r="E396" s="4">
        <v>62</v>
      </c>
      <c r="F396" s="8">
        <v>3.68</v>
      </c>
      <c r="G396" s="4">
        <v>6</v>
      </c>
      <c r="H396" s="8">
        <v>0.45</v>
      </c>
      <c r="I396" s="4">
        <v>0</v>
      </c>
    </row>
    <row r="397" spans="1:9" x14ac:dyDescent="0.2">
      <c r="A397" s="2">
        <v>12</v>
      </c>
      <c r="B397" s="1" t="s">
        <v>170</v>
      </c>
      <c r="C397" s="4">
        <v>57</v>
      </c>
      <c r="D397" s="8">
        <v>1.88</v>
      </c>
      <c r="E397" s="4">
        <v>50</v>
      </c>
      <c r="F397" s="8">
        <v>2.97</v>
      </c>
      <c r="G397" s="4">
        <v>6</v>
      </c>
      <c r="H397" s="8">
        <v>0.45</v>
      </c>
      <c r="I397" s="4">
        <v>1</v>
      </c>
    </row>
    <row r="398" spans="1:9" x14ac:dyDescent="0.2">
      <c r="A398" s="2">
        <v>13</v>
      </c>
      <c r="B398" s="1" t="s">
        <v>211</v>
      </c>
      <c r="C398" s="4">
        <v>55</v>
      </c>
      <c r="D398" s="8">
        <v>1.82</v>
      </c>
      <c r="E398" s="4">
        <v>50</v>
      </c>
      <c r="F398" s="8">
        <v>2.97</v>
      </c>
      <c r="G398" s="4">
        <v>5</v>
      </c>
      <c r="H398" s="8">
        <v>0.37</v>
      </c>
      <c r="I398" s="4">
        <v>0</v>
      </c>
    </row>
    <row r="399" spans="1:9" x14ac:dyDescent="0.2">
      <c r="A399" s="2">
        <v>14</v>
      </c>
      <c r="B399" s="1" t="s">
        <v>153</v>
      </c>
      <c r="C399" s="4">
        <v>53</v>
      </c>
      <c r="D399" s="8">
        <v>1.75</v>
      </c>
      <c r="E399" s="4">
        <v>15</v>
      </c>
      <c r="F399" s="8">
        <v>0.89</v>
      </c>
      <c r="G399" s="4">
        <v>38</v>
      </c>
      <c r="H399" s="8">
        <v>2.84</v>
      </c>
      <c r="I399" s="4">
        <v>0</v>
      </c>
    </row>
    <row r="400" spans="1:9" x14ac:dyDescent="0.2">
      <c r="A400" s="2">
        <v>15</v>
      </c>
      <c r="B400" s="1" t="s">
        <v>159</v>
      </c>
      <c r="C400" s="4">
        <v>50</v>
      </c>
      <c r="D400" s="8">
        <v>1.65</v>
      </c>
      <c r="E400" s="4">
        <v>8</v>
      </c>
      <c r="F400" s="8">
        <v>0.47</v>
      </c>
      <c r="G400" s="4">
        <v>42</v>
      </c>
      <c r="H400" s="8">
        <v>3.14</v>
      </c>
      <c r="I400" s="4">
        <v>0</v>
      </c>
    </row>
    <row r="401" spans="1:9" x14ac:dyDescent="0.2">
      <c r="A401" s="2">
        <v>16</v>
      </c>
      <c r="B401" s="1" t="s">
        <v>152</v>
      </c>
      <c r="C401" s="4">
        <v>48</v>
      </c>
      <c r="D401" s="8">
        <v>1.58</v>
      </c>
      <c r="E401" s="4">
        <v>4</v>
      </c>
      <c r="F401" s="8">
        <v>0.24</v>
      </c>
      <c r="G401" s="4">
        <v>44</v>
      </c>
      <c r="H401" s="8">
        <v>3.29</v>
      </c>
      <c r="I401" s="4">
        <v>0</v>
      </c>
    </row>
    <row r="402" spans="1:9" x14ac:dyDescent="0.2">
      <c r="A402" s="2">
        <v>17</v>
      </c>
      <c r="B402" s="1" t="s">
        <v>176</v>
      </c>
      <c r="C402" s="4">
        <v>47</v>
      </c>
      <c r="D402" s="8">
        <v>1.55</v>
      </c>
      <c r="E402" s="4">
        <v>23</v>
      </c>
      <c r="F402" s="8">
        <v>1.36</v>
      </c>
      <c r="G402" s="4">
        <v>24</v>
      </c>
      <c r="H402" s="8">
        <v>1.8</v>
      </c>
      <c r="I402" s="4">
        <v>0</v>
      </c>
    </row>
    <row r="403" spans="1:9" x14ac:dyDescent="0.2">
      <c r="A403" s="2">
        <v>18</v>
      </c>
      <c r="B403" s="1" t="s">
        <v>210</v>
      </c>
      <c r="C403" s="4">
        <v>46</v>
      </c>
      <c r="D403" s="8">
        <v>1.52</v>
      </c>
      <c r="E403" s="4">
        <v>12</v>
      </c>
      <c r="F403" s="8">
        <v>0.71</v>
      </c>
      <c r="G403" s="4">
        <v>34</v>
      </c>
      <c r="H403" s="8">
        <v>2.54</v>
      </c>
      <c r="I403" s="4">
        <v>0</v>
      </c>
    </row>
    <row r="404" spans="1:9" x14ac:dyDescent="0.2">
      <c r="A404" s="2">
        <v>19</v>
      </c>
      <c r="B404" s="1" t="s">
        <v>154</v>
      </c>
      <c r="C404" s="4">
        <v>44</v>
      </c>
      <c r="D404" s="8">
        <v>1.45</v>
      </c>
      <c r="E404" s="4">
        <v>9</v>
      </c>
      <c r="F404" s="8">
        <v>0.53</v>
      </c>
      <c r="G404" s="4">
        <v>35</v>
      </c>
      <c r="H404" s="8">
        <v>2.62</v>
      </c>
      <c r="I404" s="4">
        <v>0</v>
      </c>
    </row>
    <row r="405" spans="1:9" x14ac:dyDescent="0.2">
      <c r="A405" s="2">
        <v>20</v>
      </c>
      <c r="B405" s="1" t="s">
        <v>156</v>
      </c>
      <c r="C405" s="4">
        <v>42</v>
      </c>
      <c r="D405" s="8">
        <v>1.39</v>
      </c>
      <c r="E405" s="4">
        <v>34</v>
      </c>
      <c r="F405" s="8">
        <v>2.02</v>
      </c>
      <c r="G405" s="4">
        <v>8</v>
      </c>
      <c r="H405" s="8">
        <v>0.6</v>
      </c>
      <c r="I405" s="4">
        <v>0</v>
      </c>
    </row>
    <row r="406" spans="1:9" x14ac:dyDescent="0.2">
      <c r="A406" s="1"/>
      <c r="C406" s="4"/>
      <c r="D406" s="8"/>
      <c r="E406" s="4"/>
      <c r="F406" s="8"/>
      <c r="G406" s="4"/>
      <c r="H406" s="8"/>
      <c r="I406" s="4"/>
    </row>
    <row r="407" spans="1:9" x14ac:dyDescent="0.2">
      <c r="A407" s="1" t="s">
        <v>18</v>
      </c>
      <c r="C407" s="4"/>
      <c r="D407" s="8"/>
      <c r="E407" s="4"/>
      <c r="F407" s="8"/>
      <c r="G407" s="4"/>
      <c r="H407" s="8"/>
      <c r="I407" s="4"/>
    </row>
    <row r="408" spans="1:9" x14ac:dyDescent="0.2">
      <c r="A408" s="2">
        <v>1</v>
      </c>
      <c r="B408" s="1" t="s">
        <v>160</v>
      </c>
      <c r="C408" s="4">
        <v>203</v>
      </c>
      <c r="D408" s="8">
        <v>5.83</v>
      </c>
      <c r="E408" s="4">
        <v>78</v>
      </c>
      <c r="F408" s="8">
        <v>4.18</v>
      </c>
      <c r="G408" s="4">
        <v>125</v>
      </c>
      <c r="H408" s="8">
        <v>7.8</v>
      </c>
      <c r="I408" s="4">
        <v>0</v>
      </c>
    </row>
    <row r="409" spans="1:9" x14ac:dyDescent="0.2">
      <c r="A409" s="2">
        <v>2</v>
      </c>
      <c r="B409" s="1" t="s">
        <v>167</v>
      </c>
      <c r="C409" s="4">
        <v>128</v>
      </c>
      <c r="D409" s="8">
        <v>3.67</v>
      </c>
      <c r="E409" s="4">
        <v>126</v>
      </c>
      <c r="F409" s="8">
        <v>6.75</v>
      </c>
      <c r="G409" s="4">
        <v>1</v>
      </c>
      <c r="H409" s="8">
        <v>0.06</v>
      </c>
      <c r="I409" s="4">
        <v>1</v>
      </c>
    </row>
    <row r="410" spans="1:9" x14ac:dyDescent="0.2">
      <c r="A410" s="2">
        <v>3</v>
      </c>
      <c r="B410" s="1" t="s">
        <v>171</v>
      </c>
      <c r="C410" s="4">
        <v>119</v>
      </c>
      <c r="D410" s="8">
        <v>3.42</v>
      </c>
      <c r="E410" s="4">
        <v>98</v>
      </c>
      <c r="F410" s="8">
        <v>5.25</v>
      </c>
      <c r="G410" s="4">
        <v>21</v>
      </c>
      <c r="H410" s="8">
        <v>1.31</v>
      </c>
      <c r="I410" s="4">
        <v>0</v>
      </c>
    </row>
    <row r="411" spans="1:9" x14ac:dyDescent="0.2">
      <c r="A411" s="2">
        <v>4</v>
      </c>
      <c r="B411" s="1" t="s">
        <v>169</v>
      </c>
      <c r="C411" s="4">
        <v>115</v>
      </c>
      <c r="D411" s="8">
        <v>3.3</v>
      </c>
      <c r="E411" s="4">
        <v>105</v>
      </c>
      <c r="F411" s="8">
        <v>5.62</v>
      </c>
      <c r="G411" s="4">
        <v>10</v>
      </c>
      <c r="H411" s="8">
        <v>0.62</v>
      </c>
      <c r="I411" s="4">
        <v>0</v>
      </c>
    </row>
    <row r="412" spans="1:9" x14ac:dyDescent="0.2">
      <c r="A412" s="2">
        <v>5</v>
      </c>
      <c r="B412" s="1" t="s">
        <v>165</v>
      </c>
      <c r="C412" s="4">
        <v>81</v>
      </c>
      <c r="D412" s="8">
        <v>2.33</v>
      </c>
      <c r="E412" s="4">
        <v>80</v>
      </c>
      <c r="F412" s="8">
        <v>4.28</v>
      </c>
      <c r="G412" s="4">
        <v>1</v>
      </c>
      <c r="H412" s="8">
        <v>0.06</v>
      </c>
      <c r="I412" s="4">
        <v>0</v>
      </c>
    </row>
    <row r="413" spans="1:9" x14ac:dyDescent="0.2">
      <c r="A413" s="2">
        <v>6</v>
      </c>
      <c r="B413" s="1" t="s">
        <v>159</v>
      </c>
      <c r="C413" s="4">
        <v>71</v>
      </c>
      <c r="D413" s="8">
        <v>2.04</v>
      </c>
      <c r="E413" s="4">
        <v>12</v>
      </c>
      <c r="F413" s="8">
        <v>0.64</v>
      </c>
      <c r="G413" s="4">
        <v>59</v>
      </c>
      <c r="H413" s="8">
        <v>3.68</v>
      </c>
      <c r="I413" s="4">
        <v>0</v>
      </c>
    </row>
    <row r="414" spans="1:9" x14ac:dyDescent="0.2">
      <c r="A414" s="2">
        <v>7</v>
      </c>
      <c r="B414" s="1" t="s">
        <v>164</v>
      </c>
      <c r="C414" s="4">
        <v>70</v>
      </c>
      <c r="D414" s="8">
        <v>2.0099999999999998</v>
      </c>
      <c r="E414" s="4">
        <v>68</v>
      </c>
      <c r="F414" s="8">
        <v>3.64</v>
      </c>
      <c r="G414" s="4">
        <v>2</v>
      </c>
      <c r="H414" s="8">
        <v>0.12</v>
      </c>
      <c r="I414" s="4">
        <v>0</v>
      </c>
    </row>
    <row r="415" spans="1:9" x14ac:dyDescent="0.2">
      <c r="A415" s="2">
        <v>8</v>
      </c>
      <c r="B415" s="1" t="s">
        <v>161</v>
      </c>
      <c r="C415" s="4">
        <v>68</v>
      </c>
      <c r="D415" s="8">
        <v>1.95</v>
      </c>
      <c r="E415" s="4">
        <v>51</v>
      </c>
      <c r="F415" s="8">
        <v>2.73</v>
      </c>
      <c r="G415" s="4">
        <v>17</v>
      </c>
      <c r="H415" s="8">
        <v>1.06</v>
      </c>
      <c r="I415" s="4">
        <v>0</v>
      </c>
    </row>
    <row r="416" spans="1:9" x14ac:dyDescent="0.2">
      <c r="A416" s="2">
        <v>9</v>
      </c>
      <c r="B416" s="1" t="s">
        <v>168</v>
      </c>
      <c r="C416" s="4">
        <v>66</v>
      </c>
      <c r="D416" s="8">
        <v>1.89</v>
      </c>
      <c r="E416" s="4">
        <v>64</v>
      </c>
      <c r="F416" s="8">
        <v>3.43</v>
      </c>
      <c r="G416" s="4">
        <v>2</v>
      </c>
      <c r="H416" s="8">
        <v>0.12</v>
      </c>
      <c r="I416" s="4">
        <v>0</v>
      </c>
    </row>
    <row r="417" spans="1:9" x14ac:dyDescent="0.2">
      <c r="A417" s="2">
        <v>10</v>
      </c>
      <c r="B417" s="1" t="s">
        <v>175</v>
      </c>
      <c r="C417" s="4">
        <v>65</v>
      </c>
      <c r="D417" s="8">
        <v>1.87</v>
      </c>
      <c r="E417" s="4">
        <v>27</v>
      </c>
      <c r="F417" s="8">
        <v>1.45</v>
      </c>
      <c r="G417" s="4">
        <v>37</v>
      </c>
      <c r="H417" s="8">
        <v>2.31</v>
      </c>
      <c r="I417" s="4">
        <v>1</v>
      </c>
    </row>
    <row r="418" spans="1:9" x14ac:dyDescent="0.2">
      <c r="A418" s="2">
        <v>11</v>
      </c>
      <c r="B418" s="1" t="s">
        <v>157</v>
      </c>
      <c r="C418" s="4">
        <v>64</v>
      </c>
      <c r="D418" s="8">
        <v>1.84</v>
      </c>
      <c r="E418" s="4">
        <v>48</v>
      </c>
      <c r="F418" s="8">
        <v>2.57</v>
      </c>
      <c r="G418" s="4">
        <v>16</v>
      </c>
      <c r="H418" s="8">
        <v>1</v>
      </c>
      <c r="I418" s="4">
        <v>0</v>
      </c>
    </row>
    <row r="419" spans="1:9" x14ac:dyDescent="0.2">
      <c r="A419" s="2">
        <v>12</v>
      </c>
      <c r="B419" s="1" t="s">
        <v>162</v>
      </c>
      <c r="C419" s="4">
        <v>62</v>
      </c>
      <c r="D419" s="8">
        <v>1.78</v>
      </c>
      <c r="E419" s="4">
        <v>5</v>
      </c>
      <c r="F419" s="8">
        <v>0.27</v>
      </c>
      <c r="G419" s="4">
        <v>57</v>
      </c>
      <c r="H419" s="8">
        <v>3.56</v>
      </c>
      <c r="I419" s="4">
        <v>0</v>
      </c>
    </row>
    <row r="420" spans="1:9" x14ac:dyDescent="0.2">
      <c r="A420" s="2">
        <v>12</v>
      </c>
      <c r="B420" s="1" t="s">
        <v>170</v>
      </c>
      <c r="C420" s="4">
        <v>62</v>
      </c>
      <c r="D420" s="8">
        <v>1.78</v>
      </c>
      <c r="E420" s="4">
        <v>53</v>
      </c>
      <c r="F420" s="8">
        <v>2.84</v>
      </c>
      <c r="G420" s="4">
        <v>8</v>
      </c>
      <c r="H420" s="8">
        <v>0.5</v>
      </c>
      <c r="I420" s="4">
        <v>1</v>
      </c>
    </row>
    <row r="421" spans="1:9" x14ac:dyDescent="0.2">
      <c r="A421" s="2">
        <v>14</v>
      </c>
      <c r="B421" s="1" t="s">
        <v>152</v>
      </c>
      <c r="C421" s="4">
        <v>56</v>
      </c>
      <c r="D421" s="8">
        <v>1.61</v>
      </c>
      <c r="E421" s="4">
        <v>9</v>
      </c>
      <c r="F421" s="8">
        <v>0.48</v>
      </c>
      <c r="G421" s="4">
        <v>47</v>
      </c>
      <c r="H421" s="8">
        <v>2.93</v>
      </c>
      <c r="I421" s="4">
        <v>0</v>
      </c>
    </row>
    <row r="422" spans="1:9" x14ac:dyDescent="0.2">
      <c r="A422" s="2">
        <v>15</v>
      </c>
      <c r="B422" s="1" t="s">
        <v>155</v>
      </c>
      <c r="C422" s="4">
        <v>51</v>
      </c>
      <c r="D422" s="8">
        <v>1.46</v>
      </c>
      <c r="E422" s="4">
        <v>40</v>
      </c>
      <c r="F422" s="8">
        <v>2.14</v>
      </c>
      <c r="G422" s="4">
        <v>11</v>
      </c>
      <c r="H422" s="8">
        <v>0.69</v>
      </c>
      <c r="I422" s="4">
        <v>0</v>
      </c>
    </row>
    <row r="423" spans="1:9" x14ac:dyDescent="0.2">
      <c r="A423" s="2">
        <v>16</v>
      </c>
      <c r="B423" s="1" t="s">
        <v>158</v>
      </c>
      <c r="C423" s="4">
        <v>50</v>
      </c>
      <c r="D423" s="8">
        <v>1.44</v>
      </c>
      <c r="E423" s="4">
        <v>13</v>
      </c>
      <c r="F423" s="8">
        <v>0.7</v>
      </c>
      <c r="G423" s="4">
        <v>37</v>
      </c>
      <c r="H423" s="8">
        <v>2.31</v>
      </c>
      <c r="I423" s="4">
        <v>0</v>
      </c>
    </row>
    <row r="424" spans="1:9" x14ac:dyDescent="0.2">
      <c r="A424" s="2">
        <v>17</v>
      </c>
      <c r="B424" s="1" t="s">
        <v>196</v>
      </c>
      <c r="C424" s="4">
        <v>49</v>
      </c>
      <c r="D424" s="8">
        <v>1.41</v>
      </c>
      <c r="E424" s="4">
        <v>41</v>
      </c>
      <c r="F424" s="8">
        <v>2.19</v>
      </c>
      <c r="G424" s="4">
        <v>8</v>
      </c>
      <c r="H424" s="8">
        <v>0.5</v>
      </c>
      <c r="I424" s="4">
        <v>0</v>
      </c>
    </row>
    <row r="425" spans="1:9" x14ac:dyDescent="0.2">
      <c r="A425" s="2">
        <v>18</v>
      </c>
      <c r="B425" s="1" t="s">
        <v>210</v>
      </c>
      <c r="C425" s="4">
        <v>48</v>
      </c>
      <c r="D425" s="8">
        <v>1.38</v>
      </c>
      <c r="E425" s="4">
        <v>17</v>
      </c>
      <c r="F425" s="8">
        <v>0.91</v>
      </c>
      <c r="G425" s="4">
        <v>31</v>
      </c>
      <c r="H425" s="8">
        <v>1.93</v>
      </c>
      <c r="I425" s="4">
        <v>0</v>
      </c>
    </row>
    <row r="426" spans="1:9" x14ac:dyDescent="0.2">
      <c r="A426" s="2">
        <v>18</v>
      </c>
      <c r="B426" s="1" t="s">
        <v>154</v>
      </c>
      <c r="C426" s="4">
        <v>48</v>
      </c>
      <c r="D426" s="8">
        <v>1.38</v>
      </c>
      <c r="E426" s="4">
        <v>13</v>
      </c>
      <c r="F426" s="8">
        <v>0.7</v>
      </c>
      <c r="G426" s="4">
        <v>35</v>
      </c>
      <c r="H426" s="8">
        <v>2.1800000000000002</v>
      </c>
      <c r="I426" s="4">
        <v>0</v>
      </c>
    </row>
    <row r="427" spans="1:9" x14ac:dyDescent="0.2">
      <c r="A427" s="2">
        <v>20</v>
      </c>
      <c r="B427" s="1" t="s">
        <v>156</v>
      </c>
      <c r="C427" s="4">
        <v>47</v>
      </c>
      <c r="D427" s="8">
        <v>1.35</v>
      </c>
      <c r="E427" s="4">
        <v>39</v>
      </c>
      <c r="F427" s="8">
        <v>2.09</v>
      </c>
      <c r="G427" s="4">
        <v>8</v>
      </c>
      <c r="H427" s="8">
        <v>0.5</v>
      </c>
      <c r="I427" s="4">
        <v>0</v>
      </c>
    </row>
    <row r="428" spans="1:9" x14ac:dyDescent="0.2">
      <c r="A428" s="1"/>
      <c r="C428" s="4"/>
      <c r="D428" s="8"/>
      <c r="E428" s="4"/>
      <c r="F428" s="8"/>
      <c r="G428" s="4"/>
      <c r="H428" s="8"/>
      <c r="I428" s="4"/>
    </row>
    <row r="429" spans="1:9" x14ac:dyDescent="0.2">
      <c r="A429" s="1" t="s">
        <v>19</v>
      </c>
      <c r="C429" s="4"/>
      <c r="D429" s="8"/>
      <c r="E429" s="4"/>
      <c r="F429" s="8"/>
      <c r="G429" s="4"/>
      <c r="H429" s="8"/>
      <c r="I429" s="4"/>
    </row>
    <row r="430" spans="1:9" x14ac:dyDescent="0.2">
      <c r="A430" s="2">
        <v>1</v>
      </c>
      <c r="B430" s="1" t="s">
        <v>160</v>
      </c>
      <c r="C430" s="4">
        <v>230</v>
      </c>
      <c r="D430" s="8">
        <v>8.76</v>
      </c>
      <c r="E430" s="4">
        <v>130</v>
      </c>
      <c r="F430" s="8">
        <v>8.41</v>
      </c>
      <c r="G430" s="4">
        <v>100</v>
      </c>
      <c r="H430" s="8">
        <v>9.2799999999999994</v>
      </c>
      <c r="I430" s="4">
        <v>0</v>
      </c>
    </row>
    <row r="431" spans="1:9" x14ac:dyDescent="0.2">
      <c r="A431" s="2">
        <v>2</v>
      </c>
      <c r="B431" s="1" t="s">
        <v>167</v>
      </c>
      <c r="C431" s="4">
        <v>110</v>
      </c>
      <c r="D431" s="8">
        <v>4.1900000000000004</v>
      </c>
      <c r="E431" s="4">
        <v>106</v>
      </c>
      <c r="F431" s="8">
        <v>6.86</v>
      </c>
      <c r="G431" s="4">
        <v>4</v>
      </c>
      <c r="H431" s="8">
        <v>0.37</v>
      </c>
      <c r="I431" s="4">
        <v>0</v>
      </c>
    </row>
    <row r="432" spans="1:9" x14ac:dyDescent="0.2">
      <c r="A432" s="2">
        <v>3</v>
      </c>
      <c r="B432" s="1" t="s">
        <v>169</v>
      </c>
      <c r="C432" s="4">
        <v>96</v>
      </c>
      <c r="D432" s="8">
        <v>3.65</v>
      </c>
      <c r="E432" s="4">
        <v>88</v>
      </c>
      <c r="F432" s="8">
        <v>5.7</v>
      </c>
      <c r="G432" s="4">
        <v>8</v>
      </c>
      <c r="H432" s="8">
        <v>0.74</v>
      </c>
      <c r="I432" s="4">
        <v>0</v>
      </c>
    </row>
    <row r="433" spans="1:9" x14ac:dyDescent="0.2">
      <c r="A433" s="2">
        <v>4</v>
      </c>
      <c r="B433" s="1" t="s">
        <v>164</v>
      </c>
      <c r="C433" s="4">
        <v>79</v>
      </c>
      <c r="D433" s="8">
        <v>3.01</v>
      </c>
      <c r="E433" s="4">
        <v>70</v>
      </c>
      <c r="F433" s="8">
        <v>4.53</v>
      </c>
      <c r="G433" s="4">
        <v>9</v>
      </c>
      <c r="H433" s="8">
        <v>0.83</v>
      </c>
      <c r="I433" s="4">
        <v>0</v>
      </c>
    </row>
    <row r="434" spans="1:9" x14ac:dyDescent="0.2">
      <c r="A434" s="2">
        <v>5</v>
      </c>
      <c r="B434" s="1" t="s">
        <v>157</v>
      </c>
      <c r="C434" s="4">
        <v>78</v>
      </c>
      <c r="D434" s="8">
        <v>2.97</v>
      </c>
      <c r="E434" s="4">
        <v>64</v>
      </c>
      <c r="F434" s="8">
        <v>4.1399999999999997</v>
      </c>
      <c r="G434" s="4">
        <v>14</v>
      </c>
      <c r="H434" s="8">
        <v>1.3</v>
      </c>
      <c r="I434" s="4">
        <v>0</v>
      </c>
    </row>
    <row r="435" spans="1:9" x14ac:dyDescent="0.2">
      <c r="A435" s="2">
        <v>6</v>
      </c>
      <c r="B435" s="1" t="s">
        <v>161</v>
      </c>
      <c r="C435" s="4">
        <v>69</v>
      </c>
      <c r="D435" s="8">
        <v>2.63</v>
      </c>
      <c r="E435" s="4">
        <v>56</v>
      </c>
      <c r="F435" s="8">
        <v>3.62</v>
      </c>
      <c r="G435" s="4">
        <v>13</v>
      </c>
      <c r="H435" s="8">
        <v>1.21</v>
      </c>
      <c r="I435" s="4">
        <v>0</v>
      </c>
    </row>
    <row r="436" spans="1:9" x14ac:dyDescent="0.2">
      <c r="A436" s="2">
        <v>7</v>
      </c>
      <c r="B436" s="1" t="s">
        <v>168</v>
      </c>
      <c r="C436" s="4">
        <v>68</v>
      </c>
      <c r="D436" s="8">
        <v>2.59</v>
      </c>
      <c r="E436" s="4">
        <v>67</v>
      </c>
      <c r="F436" s="8">
        <v>4.34</v>
      </c>
      <c r="G436" s="4">
        <v>1</v>
      </c>
      <c r="H436" s="8">
        <v>0.09</v>
      </c>
      <c r="I436" s="4">
        <v>0</v>
      </c>
    </row>
    <row r="437" spans="1:9" x14ac:dyDescent="0.2">
      <c r="A437" s="2">
        <v>8</v>
      </c>
      <c r="B437" s="1" t="s">
        <v>165</v>
      </c>
      <c r="C437" s="4">
        <v>61</v>
      </c>
      <c r="D437" s="8">
        <v>2.3199999999999998</v>
      </c>
      <c r="E437" s="4">
        <v>55</v>
      </c>
      <c r="F437" s="8">
        <v>3.56</v>
      </c>
      <c r="G437" s="4">
        <v>6</v>
      </c>
      <c r="H437" s="8">
        <v>0.56000000000000005</v>
      </c>
      <c r="I437" s="4">
        <v>0</v>
      </c>
    </row>
    <row r="438" spans="1:9" x14ac:dyDescent="0.2">
      <c r="A438" s="2">
        <v>9</v>
      </c>
      <c r="B438" s="1" t="s">
        <v>156</v>
      </c>
      <c r="C438" s="4">
        <v>58</v>
      </c>
      <c r="D438" s="8">
        <v>2.21</v>
      </c>
      <c r="E438" s="4">
        <v>48</v>
      </c>
      <c r="F438" s="8">
        <v>3.11</v>
      </c>
      <c r="G438" s="4">
        <v>10</v>
      </c>
      <c r="H438" s="8">
        <v>0.93</v>
      </c>
      <c r="I438" s="4">
        <v>0</v>
      </c>
    </row>
    <row r="439" spans="1:9" x14ac:dyDescent="0.2">
      <c r="A439" s="2">
        <v>9</v>
      </c>
      <c r="B439" s="1" t="s">
        <v>171</v>
      </c>
      <c r="C439" s="4">
        <v>58</v>
      </c>
      <c r="D439" s="8">
        <v>2.21</v>
      </c>
      <c r="E439" s="4">
        <v>50</v>
      </c>
      <c r="F439" s="8">
        <v>3.24</v>
      </c>
      <c r="G439" s="4">
        <v>8</v>
      </c>
      <c r="H439" s="8">
        <v>0.74</v>
      </c>
      <c r="I439" s="4">
        <v>0</v>
      </c>
    </row>
    <row r="440" spans="1:9" x14ac:dyDescent="0.2">
      <c r="A440" s="2">
        <v>11</v>
      </c>
      <c r="B440" s="1" t="s">
        <v>176</v>
      </c>
      <c r="C440" s="4">
        <v>54</v>
      </c>
      <c r="D440" s="8">
        <v>2.06</v>
      </c>
      <c r="E440" s="4">
        <v>18</v>
      </c>
      <c r="F440" s="8">
        <v>1.17</v>
      </c>
      <c r="G440" s="4">
        <v>36</v>
      </c>
      <c r="H440" s="8">
        <v>3.34</v>
      </c>
      <c r="I440" s="4">
        <v>0</v>
      </c>
    </row>
    <row r="441" spans="1:9" x14ac:dyDescent="0.2">
      <c r="A441" s="2">
        <v>12</v>
      </c>
      <c r="B441" s="1" t="s">
        <v>209</v>
      </c>
      <c r="C441" s="4">
        <v>47</v>
      </c>
      <c r="D441" s="8">
        <v>1.79</v>
      </c>
      <c r="E441" s="4">
        <v>0</v>
      </c>
      <c r="F441" s="8">
        <v>0</v>
      </c>
      <c r="G441" s="4">
        <v>45</v>
      </c>
      <c r="H441" s="8">
        <v>4.17</v>
      </c>
      <c r="I441" s="4">
        <v>2</v>
      </c>
    </row>
    <row r="442" spans="1:9" x14ac:dyDescent="0.2">
      <c r="A442" s="2">
        <v>13</v>
      </c>
      <c r="B442" s="1" t="s">
        <v>194</v>
      </c>
      <c r="C442" s="4">
        <v>41</v>
      </c>
      <c r="D442" s="8">
        <v>1.56</v>
      </c>
      <c r="E442" s="4">
        <v>32</v>
      </c>
      <c r="F442" s="8">
        <v>2.0699999999999998</v>
      </c>
      <c r="G442" s="4">
        <v>9</v>
      </c>
      <c r="H442" s="8">
        <v>0.83</v>
      </c>
      <c r="I442" s="4">
        <v>0</v>
      </c>
    </row>
    <row r="443" spans="1:9" x14ac:dyDescent="0.2">
      <c r="A443" s="2">
        <v>14</v>
      </c>
      <c r="B443" s="1" t="s">
        <v>162</v>
      </c>
      <c r="C443" s="4">
        <v>39</v>
      </c>
      <c r="D443" s="8">
        <v>1.48</v>
      </c>
      <c r="E443" s="4">
        <v>7</v>
      </c>
      <c r="F443" s="8">
        <v>0.45</v>
      </c>
      <c r="G443" s="4">
        <v>32</v>
      </c>
      <c r="H443" s="8">
        <v>2.97</v>
      </c>
      <c r="I443" s="4">
        <v>0</v>
      </c>
    </row>
    <row r="444" spans="1:9" x14ac:dyDescent="0.2">
      <c r="A444" s="2">
        <v>15</v>
      </c>
      <c r="B444" s="1" t="s">
        <v>211</v>
      </c>
      <c r="C444" s="4">
        <v>36</v>
      </c>
      <c r="D444" s="8">
        <v>1.37</v>
      </c>
      <c r="E444" s="4">
        <v>35</v>
      </c>
      <c r="F444" s="8">
        <v>2.27</v>
      </c>
      <c r="G444" s="4">
        <v>1</v>
      </c>
      <c r="H444" s="8">
        <v>0.09</v>
      </c>
      <c r="I444" s="4">
        <v>0</v>
      </c>
    </row>
    <row r="445" spans="1:9" x14ac:dyDescent="0.2">
      <c r="A445" s="2">
        <v>16</v>
      </c>
      <c r="B445" s="1" t="s">
        <v>182</v>
      </c>
      <c r="C445" s="4">
        <v>33</v>
      </c>
      <c r="D445" s="8">
        <v>1.26</v>
      </c>
      <c r="E445" s="4">
        <v>27</v>
      </c>
      <c r="F445" s="8">
        <v>1.75</v>
      </c>
      <c r="G445" s="4">
        <v>6</v>
      </c>
      <c r="H445" s="8">
        <v>0.56000000000000005</v>
      </c>
      <c r="I445" s="4">
        <v>0</v>
      </c>
    </row>
    <row r="446" spans="1:9" x14ac:dyDescent="0.2">
      <c r="A446" s="2">
        <v>17</v>
      </c>
      <c r="B446" s="1" t="s">
        <v>158</v>
      </c>
      <c r="C446" s="4">
        <v>31</v>
      </c>
      <c r="D446" s="8">
        <v>1.18</v>
      </c>
      <c r="E446" s="4">
        <v>12</v>
      </c>
      <c r="F446" s="8">
        <v>0.78</v>
      </c>
      <c r="G446" s="4">
        <v>19</v>
      </c>
      <c r="H446" s="8">
        <v>1.76</v>
      </c>
      <c r="I446" s="4">
        <v>0</v>
      </c>
    </row>
    <row r="447" spans="1:9" x14ac:dyDescent="0.2">
      <c r="A447" s="2">
        <v>18</v>
      </c>
      <c r="B447" s="1" t="s">
        <v>155</v>
      </c>
      <c r="C447" s="4">
        <v>27</v>
      </c>
      <c r="D447" s="8">
        <v>1.03</v>
      </c>
      <c r="E447" s="4">
        <v>23</v>
      </c>
      <c r="F447" s="8">
        <v>1.49</v>
      </c>
      <c r="G447" s="4">
        <v>4</v>
      </c>
      <c r="H447" s="8">
        <v>0.37</v>
      </c>
      <c r="I447" s="4">
        <v>0</v>
      </c>
    </row>
    <row r="448" spans="1:9" x14ac:dyDescent="0.2">
      <c r="A448" s="2">
        <v>18</v>
      </c>
      <c r="B448" s="1" t="s">
        <v>183</v>
      </c>
      <c r="C448" s="4">
        <v>27</v>
      </c>
      <c r="D448" s="8">
        <v>1.03</v>
      </c>
      <c r="E448" s="4">
        <v>26</v>
      </c>
      <c r="F448" s="8">
        <v>1.68</v>
      </c>
      <c r="G448" s="4">
        <v>1</v>
      </c>
      <c r="H448" s="8">
        <v>0.09</v>
      </c>
      <c r="I448" s="4">
        <v>0</v>
      </c>
    </row>
    <row r="449" spans="1:9" x14ac:dyDescent="0.2">
      <c r="A449" s="2">
        <v>20</v>
      </c>
      <c r="B449" s="1" t="s">
        <v>213</v>
      </c>
      <c r="C449" s="4">
        <v>26</v>
      </c>
      <c r="D449" s="8">
        <v>0.99</v>
      </c>
      <c r="E449" s="4">
        <v>16</v>
      </c>
      <c r="F449" s="8">
        <v>1.04</v>
      </c>
      <c r="G449" s="4">
        <v>10</v>
      </c>
      <c r="H449" s="8">
        <v>0.93</v>
      </c>
      <c r="I449" s="4">
        <v>0</v>
      </c>
    </row>
    <row r="450" spans="1:9" x14ac:dyDescent="0.2">
      <c r="A450" s="1"/>
      <c r="C450" s="4"/>
      <c r="D450" s="8"/>
      <c r="E450" s="4"/>
      <c r="F450" s="8"/>
      <c r="G450" s="4"/>
      <c r="H450" s="8"/>
      <c r="I450" s="4"/>
    </row>
    <row r="451" spans="1:9" x14ac:dyDescent="0.2">
      <c r="A451" s="1" t="s">
        <v>20</v>
      </c>
      <c r="C451" s="4"/>
      <c r="D451" s="8"/>
      <c r="E451" s="4"/>
      <c r="F451" s="8"/>
      <c r="G451" s="4"/>
      <c r="H451" s="8"/>
      <c r="I451" s="4"/>
    </row>
    <row r="452" spans="1:9" x14ac:dyDescent="0.2">
      <c r="A452" s="2">
        <v>1</v>
      </c>
      <c r="B452" s="1" t="s">
        <v>160</v>
      </c>
      <c r="C452" s="4">
        <v>312</v>
      </c>
      <c r="D452" s="8">
        <v>4.9000000000000004</v>
      </c>
      <c r="E452" s="4">
        <v>130</v>
      </c>
      <c r="F452" s="8">
        <v>5.37</v>
      </c>
      <c r="G452" s="4">
        <v>182</v>
      </c>
      <c r="H452" s="8">
        <v>4.63</v>
      </c>
      <c r="I452" s="4">
        <v>0</v>
      </c>
    </row>
    <row r="453" spans="1:9" x14ac:dyDescent="0.2">
      <c r="A453" s="2">
        <v>2</v>
      </c>
      <c r="B453" s="1" t="s">
        <v>165</v>
      </c>
      <c r="C453" s="4">
        <v>201</v>
      </c>
      <c r="D453" s="8">
        <v>3.16</v>
      </c>
      <c r="E453" s="4">
        <v>180</v>
      </c>
      <c r="F453" s="8">
        <v>7.44</v>
      </c>
      <c r="G453" s="4">
        <v>21</v>
      </c>
      <c r="H453" s="8">
        <v>0.53</v>
      </c>
      <c r="I453" s="4">
        <v>0</v>
      </c>
    </row>
    <row r="454" spans="1:9" x14ac:dyDescent="0.2">
      <c r="A454" s="2">
        <v>3</v>
      </c>
      <c r="B454" s="1" t="s">
        <v>164</v>
      </c>
      <c r="C454" s="4">
        <v>178</v>
      </c>
      <c r="D454" s="8">
        <v>2.79</v>
      </c>
      <c r="E454" s="4">
        <v>145</v>
      </c>
      <c r="F454" s="8">
        <v>5.99</v>
      </c>
      <c r="G454" s="4">
        <v>33</v>
      </c>
      <c r="H454" s="8">
        <v>0.84</v>
      </c>
      <c r="I454" s="4">
        <v>0</v>
      </c>
    </row>
    <row r="455" spans="1:9" x14ac:dyDescent="0.2">
      <c r="A455" s="2">
        <v>4</v>
      </c>
      <c r="B455" s="1" t="s">
        <v>169</v>
      </c>
      <c r="C455" s="4">
        <v>160</v>
      </c>
      <c r="D455" s="8">
        <v>2.5099999999999998</v>
      </c>
      <c r="E455" s="4">
        <v>148</v>
      </c>
      <c r="F455" s="8">
        <v>6.12</v>
      </c>
      <c r="G455" s="4">
        <v>12</v>
      </c>
      <c r="H455" s="8">
        <v>0.31</v>
      </c>
      <c r="I455" s="4">
        <v>0</v>
      </c>
    </row>
    <row r="456" spans="1:9" x14ac:dyDescent="0.2">
      <c r="A456" s="2">
        <v>5</v>
      </c>
      <c r="B456" s="1" t="s">
        <v>200</v>
      </c>
      <c r="C456" s="4">
        <v>143</v>
      </c>
      <c r="D456" s="8">
        <v>2.25</v>
      </c>
      <c r="E456" s="4">
        <v>3</v>
      </c>
      <c r="F456" s="8">
        <v>0.12</v>
      </c>
      <c r="G456" s="4">
        <v>140</v>
      </c>
      <c r="H456" s="8">
        <v>3.56</v>
      </c>
      <c r="I456" s="4">
        <v>0</v>
      </c>
    </row>
    <row r="457" spans="1:9" x14ac:dyDescent="0.2">
      <c r="A457" s="2">
        <v>6</v>
      </c>
      <c r="B457" s="1" t="s">
        <v>171</v>
      </c>
      <c r="C457" s="4">
        <v>139</v>
      </c>
      <c r="D457" s="8">
        <v>2.1800000000000002</v>
      </c>
      <c r="E457" s="4">
        <v>114</v>
      </c>
      <c r="F457" s="8">
        <v>4.71</v>
      </c>
      <c r="G457" s="4">
        <v>25</v>
      </c>
      <c r="H457" s="8">
        <v>0.64</v>
      </c>
      <c r="I457" s="4">
        <v>0</v>
      </c>
    </row>
    <row r="458" spans="1:9" x14ac:dyDescent="0.2">
      <c r="A458" s="2">
        <v>7</v>
      </c>
      <c r="B458" s="1" t="s">
        <v>163</v>
      </c>
      <c r="C458" s="4">
        <v>134</v>
      </c>
      <c r="D458" s="8">
        <v>2.1</v>
      </c>
      <c r="E458" s="4">
        <v>123</v>
      </c>
      <c r="F458" s="8">
        <v>5.08</v>
      </c>
      <c r="G458" s="4">
        <v>11</v>
      </c>
      <c r="H458" s="8">
        <v>0.28000000000000003</v>
      </c>
      <c r="I458" s="4">
        <v>0</v>
      </c>
    </row>
    <row r="459" spans="1:9" x14ac:dyDescent="0.2">
      <c r="A459" s="2">
        <v>8</v>
      </c>
      <c r="B459" s="1" t="s">
        <v>185</v>
      </c>
      <c r="C459" s="4">
        <v>133</v>
      </c>
      <c r="D459" s="8">
        <v>2.09</v>
      </c>
      <c r="E459" s="4">
        <v>6</v>
      </c>
      <c r="F459" s="8">
        <v>0.25</v>
      </c>
      <c r="G459" s="4">
        <v>127</v>
      </c>
      <c r="H459" s="8">
        <v>3.23</v>
      </c>
      <c r="I459" s="4">
        <v>0</v>
      </c>
    </row>
    <row r="460" spans="1:9" x14ac:dyDescent="0.2">
      <c r="A460" s="2">
        <v>9</v>
      </c>
      <c r="B460" s="1" t="s">
        <v>167</v>
      </c>
      <c r="C460" s="4">
        <v>129</v>
      </c>
      <c r="D460" s="8">
        <v>2.0299999999999998</v>
      </c>
      <c r="E460" s="4">
        <v>119</v>
      </c>
      <c r="F460" s="8">
        <v>4.92</v>
      </c>
      <c r="G460" s="4">
        <v>10</v>
      </c>
      <c r="H460" s="8">
        <v>0.25</v>
      </c>
      <c r="I460" s="4">
        <v>0</v>
      </c>
    </row>
    <row r="461" spans="1:9" x14ac:dyDescent="0.2">
      <c r="A461" s="2">
        <v>10</v>
      </c>
      <c r="B461" s="1" t="s">
        <v>172</v>
      </c>
      <c r="C461" s="4">
        <v>123</v>
      </c>
      <c r="D461" s="8">
        <v>1.93</v>
      </c>
      <c r="E461" s="4">
        <v>35</v>
      </c>
      <c r="F461" s="8">
        <v>1.45</v>
      </c>
      <c r="G461" s="4">
        <v>88</v>
      </c>
      <c r="H461" s="8">
        <v>2.2400000000000002</v>
      </c>
      <c r="I461" s="4">
        <v>0</v>
      </c>
    </row>
    <row r="462" spans="1:9" x14ac:dyDescent="0.2">
      <c r="A462" s="2">
        <v>11</v>
      </c>
      <c r="B462" s="1" t="s">
        <v>179</v>
      </c>
      <c r="C462" s="4">
        <v>121</v>
      </c>
      <c r="D462" s="8">
        <v>1.9</v>
      </c>
      <c r="E462" s="4">
        <v>3</v>
      </c>
      <c r="F462" s="8">
        <v>0.12</v>
      </c>
      <c r="G462" s="4">
        <v>118</v>
      </c>
      <c r="H462" s="8">
        <v>3</v>
      </c>
      <c r="I462" s="4">
        <v>0</v>
      </c>
    </row>
    <row r="463" spans="1:9" x14ac:dyDescent="0.2">
      <c r="A463" s="2">
        <v>12</v>
      </c>
      <c r="B463" s="1" t="s">
        <v>158</v>
      </c>
      <c r="C463" s="4">
        <v>112</v>
      </c>
      <c r="D463" s="8">
        <v>1.76</v>
      </c>
      <c r="E463" s="4">
        <v>13</v>
      </c>
      <c r="F463" s="8">
        <v>0.54</v>
      </c>
      <c r="G463" s="4">
        <v>99</v>
      </c>
      <c r="H463" s="8">
        <v>2.52</v>
      </c>
      <c r="I463" s="4">
        <v>0</v>
      </c>
    </row>
    <row r="464" spans="1:9" x14ac:dyDescent="0.2">
      <c r="A464" s="2">
        <v>13</v>
      </c>
      <c r="B464" s="1" t="s">
        <v>159</v>
      </c>
      <c r="C464" s="4">
        <v>107</v>
      </c>
      <c r="D464" s="8">
        <v>1.68</v>
      </c>
      <c r="E464" s="4">
        <v>16</v>
      </c>
      <c r="F464" s="8">
        <v>0.66</v>
      </c>
      <c r="G464" s="4">
        <v>91</v>
      </c>
      <c r="H464" s="8">
        <v>2.31</v>
      </c>
      <c r="I464" s="4">
        <v>0</v>
      </c>
    </row>
    <row r="465" spans="1:9" x14ac:dyDescent="0.2">
      <c r="A465" s="2">
        <v>14</v>
      </c>
      <c r="B465" s="1" t="s">
        <v>162</v>
      </c>
      <c r="C465" s="4">
        <v>104</v>
      </c>
      <c r="D465" s="8">
        <v>1.63</v>
      </c>
      <c r="E465" s="4">
        <v>7</v>
      </c>
      <c r="F465" s="8">
        <v>0.28999999999999998</v>
      </c>
      <c r="G465" s="4">
        <v>93</v>
      </c>
      <c r="H465" s="8">
        <v>2.36</v>
      </c>
      <c r="I465" s="4">
        <v>4</v>
      </c>
    </row>
    <row r="466" spans="1:9" x14ac:dyDescent="0.2">
      <c r="A466" s="2">
        <v>15</v>
      </c>
      <c r="B466" s="1" t="s">
        <v>154</v>
      </c>
      <c r="C466" s="4">
        <v>101</v>
      </c>
      <c r="D466" s="8">
        <v>1.59</v>
      </c>
      <c r="E466" s="4">
        <v>4</v>
      </c>
      <c r="F466" s="8">
        <v>0.17</v>
      </c>
      <c r="G466" s="4">
        <v>97</v>
      </c>
      <c r="H466" s="8">
        <v>2.4700000000000002</v>
      </c>
      <c r="I466" s="4">
        <v>0</v>
      </c>
    </row>
    <row r="467" spans="1:9" x14ac:dyDescent="0.2">
      <c r="A467" s="2">
        <v>16</v>
      </c>
      <c r="B467" s="1" t="s">
        <v>173</v>
      </c>
      <c r="C467" s="4">
        <v>99</v>
      </c>
      <c r="D467" s="8">
        <v>1.55</v>
      </c>
      <c r="E467" s="4">
        <v>7</v>
      </c>
      <c r="F467" s="8">
        <v>0.28999999999999998</v>
      </c>
      <c r="G467" s="4">
        <v>85</v>
      </c>
      <c r="H467" s="8">
        <v>2.16</v>
      </c>
      <c r="I467" s="4">
        <v>7</v>
      </c>
    </row>
    <row r="468" spans="1:9" x14ac:dyDescent="0.2">
      <c r="A468" s="2">
        <v>17</v>
      </c>
      <c r="B468" s="1" t="s">
        <v>166</v>
      </c>
      <c r="C468" s="4">
        <v>98</v>
      </c>
      <c r="D468" s="8">
        <v>1.54</v>
      </c>
      <c r="E468" s="4">
        <v>90</v>
      </c>
      <c r="F468" s="8">
        <v>3.72</v>
      </c>
      <c r="G468" s="4">
        <v>8</v>
      </c>
      <c r="H468" s="8">
        <v>0.2</v>
      </c>
      <c r="I468" s="4">
        <v>0</v>
      </c>
    </row>
    <row r="469" spans="1:9" x14ac:dyDescent="0.2">
      <c r="A469" s="2">
        <v>18</v>
      </c>
      <c r="B469" s="1" t="s">
        <v>157</v>
      </c>
      <c r="C469" s="4">
        <v>96</v>
      </c>
      <c r="D469" s="8">
        <v>1.51</v>
      </c>
      <c r="E469" s="4">
        <v>74</v>
      </c>
      <c r="F469" s="8">
        <v>3.06</v>
      </c>
      <c r="G469" s="4">
        <v>22</v>
      </c>
      <c r="H469" s="8">
        <v>0.56000000000000005</v>
      </c>
      <c r="I469" s="4">
        <v>0</v>
      </c>
    </row>
    <row r="470" spans="1:9" x14ac:dyDescent="0.2">
      <c r="A470" s="2">
        <v>19</v>
      </c>
      <c r="B470" s="1" t="s">
        <v>214</v>
      </c>
      <c r="C470" s="4">
        <v>88</v>
      </c>
      <c r="D470" s="8">
        <v>1.38</v>
      </c>
      <c r="E470" s="4">
        <v>1</v>
      </c>
      <c r="F470" s="8">
        <v>0.04</v>
      </c>
      <c r="G470" s="4">
        <v>87</v>
      </c>
      <c r="H470" s="8">
        <v>2.21</v>
      </c>
      <c r="I470" s="4">
        <v>0</v>
      </c>
    </row>
    <row r="471" spans="1:9" x14ac:dyDescent="0.2">
      <c r="A471" s="2">
        <v>20</v>
      </c>
      <c r="B471" s="1" t="s">
        <v>156</v>
      </c>
      <c r="C471" s="4">
        <v>82</v>
      </c>
      <c r="D471" s="8">
        <v>1.29</v>
      </c>
      <c r="E471" s="4">
        <v>48</v>
      </c>
      <c r="F471" s="8">
        <v>1.98</v>
      </c>
      <c r="G471" s="4">
        <v>34</v>
      </c>
      <c r="H471" s="8">
        <v>0.86</v>
      </c>
      <c r="I471" s="4">
        <v>0</v>
      </c>
    </row>
    <row r="472" spans="1:9" x14ac:dyDescent="0.2">
      <c r="A472" s="1"/>
      <c r="C472" s="4"/>
      <c r="D472" s="8"/>
      <c r="E472" s="4"/>
      <c r="F472" s="8"/>
      <c r="G472" s="4"/>
      <c r="H472" s="8"/>
      <c r="I472" s="4"/>
    </row>
    <row r="473" spans="1:9" x14ac:dyDescent="0.2">
      <c r="A473" s="1" t="s">
        <v>21</v>
      </c>
      <c r="C473" s="4"/>
      <c r="D473" s="8"/>
      <c r="E473" s="4"/>
      <c r="F473" s="8"/>
      <c r="G473" s="4"/>
      <c r="H473" s="8"/>
      <c r="I473" s="4"/>
    </row>
    <row r="474" spans="1:9" x14ac:dyDescent="0.2">
      <c r="A474" s="2">
        <v>1</v>
      </c>
      <c r="B474" s="1" t="s">
        <v>160</v>
      </c>
      <c r="C474" s="4">
        <v>178</v>
      </c>
      <c r="D474" s="8">
        <v>8.36</v>
      </c>
      <c r="E474" s="4">
        <v>94</v>
      </c>
      <c r="F474" s="8">
        <v>9.8699999999999992</v>
      </c>
      <c r="G474" s="4">
        <v>84</v>
      </c>
      <c r="H474" s="8">
        <v>7.17</v>
      </c>
      <c r="I474" s="4">
        <v>0</v>
      </c>
    </row>
    <row r="475" spans="1:9" x14ac:dyDescent="0.2">
      <c r="A475" s="2">
        <v>2</v>
      </c>
      <c r="B475" s="1" t="s">
        <v>169</v>
      </c>
      <c r="C475" s="4">
        <v>89</v>
      </c>
      <c r="D475" s="8">
        <v>4.18</v>
      </c>
      <c r="E475" s="4">
        <v>81</v>
      </c>
      <c r="F475" s="8">
        <v>8.51</v>
      </c>
      <c r="G475" s="4">
        <v>8</v>
      </c>
      <c r="H475" s="8">
        <v>0.68</v>
      </c>
      <c r="I475" s="4">
        <v>0</v>
      </c>
    </row>
    <row r="476" spans="1:9" x14ac:dyDescent="0.2">
      <c r="A476" s="2">
        <v>3</v>
      </c>
      <c r="B476" s="1" t="s">
        <v>159</v>
      </c>
      <c r="C476" s="4">
        <v>60</v>
      </c>
      <c r="D476" s="8">
        <v>2.82</v>
      </c>
      <c r="E476" s="4">
        <v>9</v>
      </c>
      <c r="F476" s="8">
        <v>0.95</v>
      </c>
      <c r="G476" s="4">
        <v>51</v>
      </c>
      <c r="H476" s="8">
        <v>4.3600000000000003</v>
      </c>
      <c r="I476" s="4">
        <v>0</v>
      </c>
    </row>
    <row r="477" spans="1:9" x14ac:dyDescent="0.2">
      <c r="A477" s="2">
        <v>4</v>
      </c>
      <c r="B477" s="1" t="s">
        <v>162</v>
      </c>
      <c r="C477" s="4">
        <v>58</v>
      </c>
      <c r="D477" s="8">
        <v>2.72</v>
      </c>
      <c r="E477" s="4">
        <v>2</v>
      </c>
      <c r="F477" s="8">
        <v>0.21</v>
      </c>
      <c r="G477" s="4">
        <v>54</v>
      </c>
      <c r="H477" s="8">
        <v>4.6100000000000003</v>
      </c>
      <c r="I477" s="4">
        <v>2</v>
      </c>
    </row>
    <row r="478" spans="1:9" x14ac:dyDescent="0.2">
      <c r="A478" s="2">
        <v>5</v>
      </c>
      <c r="B478" s="1" t="s">
        <v>165</v>
      </c>
      <c r="C478" s="4">
        <v>54</v>
      </c>
      <c r="D478" s="8">
        <v>2.54</v>
      </c>
      <c r="E478" s="4">
        <v>52</v>
      </c>
      <c r="F478" s="8">
        <v>5.46</v>
      </c>
      <c r="G478" s="4">
        <v>2</v>
      </c>
      <c r="H478" s="8">
        <v>0.17</v>
      </c>
      <c r="I478" s="4">
        <v>0</v>
      </c>
    </row>
    <row r="479" spans="1:9" x14ac:dyDescent="0.2">
      <c r="A479" s="2">
        <v>6</v>
      </c>
      <c r="B479" s="1" t="s">
        <v>161</v>
      </c>
      <c r="C479" s="4">
        <v>50</v>
      </c>
      <c r="D479" s="8">
        <v>2.35</v>
      </c>
      <c r="E479" s="4">
        <v>32</v>
      </c>
      <c r="F479" s="8">
        <v>3.36</v>
      </c>
      <c r="G479" s="4">
        <v>18</v>
      </c>
      <c r="H479" s="8">
        <v>1.54</v>
      </c>
      <c r="I479" s="4">
        <v>0</v>
      </c>
    </row>
    <row r="480" spans="1:9" x14ac:dyDescent="0.2">
      <c r="A480" s="2">
        <v>7</v>
      </c>
      <c r="B480" s="1" t="s">
        <v>171</v>
      </c>
      <c r="C480" s="4">
        <v>47</v>
      </c>
      <c r="D480" s="8">
        <v>2.21</v>
      </c>
      <c r="E480" s="4">
        <v>41</v>
      </c>
      <c r="F480" s="8">
        <v>4.3099999999999996</v>
      </c>
      <c r="G480" s="4">
        <v>6</v>
      </c>
      <c r="H480" s="8">
        <v>0.51</v>
      </c>
      <c r="I480" s="4">
        <v>0</v>
      </c>
    </row>
    <row r="481" spans="1:9" x14ac:dyDescent="0.2">
      <c r="A481" s="2">
        <v>8</v>
      </c>
      <c r="B481" s="1" t="s">
        <v>168</v>
      </c>
      <c r="C481" s="4">
        <v>45</v>
      </c>
      <c r="D481" s="8">
        <v>2.11</v>
      </c>
      <c r="E481" s="4">
        <v>43</v>
      </c>
      <c r="F481" s="8">
        <v>4.5199999999999996</v>
      </c>
      <c r="G481" s="4">
        <v>2</v>
      </c>
      <c r="H481" s="8">
        <v>0.17</v>
      </c>
      <c r="I481" s="4">
        <v>0</v>
      </c>
    </row>
    <row r="482" spans="1:9" x14ac:dyDescent="0.2">
      <c r="A482" s="2">
        <v>9</v>
      </c>
      <c r="B482" s="1" t="s">
        <v>153</v>
      </c>
      <c r="C482" s="4">
        <v>41</v>
      </c>
      <c r="D482" s="8">
        <v>1.92</v>
      </c>
      <c r="E482" s="4">
        <v>7</v>
      </c>
      <c r="F482" s="8">
        <v>0.74</v>
      </c>
      <c r="G482" s="4">
        <v>34</v>
      </c>
      <c r="H482" s="8">
        <v>2.9</v>
      </c>
      <c r="I482" s="4">
        <v>0</v>
      </c>
    </row>
    <row r="483" spans="1:9" x14ac:dyDescent="0.2">
      <c r="A483" s="2">
        <v>10</v>
      </c>
      <c r="B483" s="1" t="s">
        <v>152</v>
      </c>
      <c r="C483" s="4">
        <v>38</v>
      </c>
      <c r="D483" s="8">
        <v>1.78</v>
      </c>
      <c r="E483" s="4">
        <v>4</v>
      </c>
      <c r="F483" s="8">
        <v>0.42</v>
      </c>
      <c r="G483" s="4">
        <v>34</v>
      </c>
      <c r="H483" s="8">
        <v>2.9</v>
      </c>
      <c r="I483" s="4">
        <v>0</v>
      </c>
    </row>
    <row r="484" spans="1:9" x14ac:dyDescent="0.2">
      <c r="A484" s="2">
        <v>10</v>
      </c>
      <c r="B484" s="1" t="s">
        <v>157</v>
      </c>
      <c r="C484" s="4">
        <v>38</v>
      </c>
      <c r="D484" s="8">
        <v>1.78</v>
      </c>
      <c r="E484" s="4">
        <v>30</v>
      </c>
      <c r="F484" s="8">
        <v>3.15</v>
      </c>
      <c r="G484" s="4">
        <v>8</v>
      </c>
      <c r="H484" s="8">
        <v>0.68</v>
      </c>
      <c r="I484" s="4">
        <v>0</v>
      </c>
    </row>
    <row r="485" spans="1:9" x14ac:dyDescent="0.2">
      <c r="A485" s="2">
        <v>12</v>
      </c>
      <c r="B485" s="1" t="s">
        <v>167</v>
      </c>
      <c r="C485" s="4">
        <v>36</v>
      </c>
      <c r="D485" s="8">
        <v>1.69</v>
      </c>
      <c r="E485" s="4">
        <v>35</v>
      </c>
      <c r="F485" s="8">
        <v>3.68</v>
      </c>
      <c r="G485" s="4">
        <v>1</v>
      </c>
      <c r="H485" s="8">
        <v>0.09</v>
      </c>
      <c r="I485" s="4">
        <v>0</v>
      </c>
    </row>
    <row r="486" spans="1:9" x14ac:dyDescent="0.2">
      <c r="A486" s="2">
        <v>13</v>
      </c>
      <c r="B486" s="1" t="s">
        <v>175</v>
      </c>
      <c r="C486" s="4">
        <v>32</v>
      </c>
      <c r="D486" s="8">
        <v>1.5</v>
      </c>
      <c r="E486" s="4">
        <v>7</v>
      </c>
      <c r="F486" s="8">
        <v>0.74</v>
      </c>
      <c r="G486" s="4">
        <v>25</v>
      </c>
      <c r="H486" s="8">
        <v>2.13</v>
      </c>
      <c r="I486" s="4">
        <v>0</v>
      </c>
    </row>
    <row r="487" spans="1:9" x14ac:dyDescent="0.2">
      <c r="A487" s="2">
        <v>14</v>
      </c>
      <c r="B487" s="1" t="s">
        <v>176</v>
      </c>
      <c r="C487" s="4">
        <v>29</v>
      </c>
      <c r="D487" s="8">
        <v>1.36</v>
      </c>
      <c r="E487" s="4">
        <v>12</v>
      </c>
      <c r="F487" s="8">
        <v>1.26</v>
      </c>
      <c r="G487" s="4">
        <v>17</v>
      </c>
      <c r="H487" s="8">
        <v>1.45</v>
      </c>
      <c r="I487" s="4">
        <v>0</v>
      </c>
    </row>
    <row r="488" spans="1:9" x14ac:dyDescent="0.2">
      <c r="A488" s="2">
        <v>15</v>
      </c>
      <c r="B488" s="1" t="s">
        <v>174</v>
      </c>
      <c r="C488" s="4">
        <v>28</v>
      </c>
      <c r="D488" s="8">
        <v>1.31</v>
      </c>
      <c r="E488" s="4">
        <v>6</v>
      </c>
      <c r="F488" s="8">
        <v>0.63</v>
      </c>
      <c r="G488" s="4">
        <v>22</v>
      </c>
      <c r="H488" s="8">
        <v>1.88</v>
      </c>
      <c r="I488" s="4">
        <v>0</v>
      </c>
    </row>
    <row r="489" spans="1:9" x14ac:dyDescent="0.2">
      <c r="A489" s="2">
        <v>15</v>
      </c>
      <c r="B489" s="1" t="s">
        <v>156</v>
      </c>
      <c r="C489" s="4">
        <v>28</v>
      </c>
      <c r="D489" s="8">
        <v>1.31</v>
      </c>
      <c r="E489" s="4">
        <v>22</v>
      </c>
      <c r="F489" s="8">
        <v>2.31</v>
      </c>
      <c r="G489" s="4">
        <v>6</v>
      </c>
      <c r="H489" s="8">
        <v>0.51</v>
      </c>
      <c r="I489" s="4">
        <v>0</v>
      </c>
    </row>
    <row r="490" spans="1:9" x14ac:dyDescent="0.2">
      <c r="A490" s="2">
        <v>15</v>
      </c>
      <c r="B490" s="1" t="s">
        <v>164</v>
      </c>
      <c r="C490" s="4">
        <v>28</v>
      </c>
      <c r="D490" s="8">
        <v>1.31</v>
      </c>
      <c r="E490" s="4">
        <v>24</v>
      </c>
      <c r="F490" s="8">
        <v>2.52</v>
      </c>
      <c r="G490" s="4">
        <v>4</v>
      </c>
      <c r="H490" s="8">
        <v>0.34</v>
      </c>
      <c r="I490" s="4">
        <v>0</v>
      </c>
    </row>
    <row r="491" spans="1:9" x14ac:dyDescent="0.2">
      <c r="A491" s="2">
        <v>15</v>
      </c>
      <c r="B491" s="1" t="s">
        <v>199</v>
      </c>
      <c r="C491" s="4">
        <v>28</v>
      </c>
      <c r="D491" s="8">
        <v>1.31</v>
      </c>
      <c r="E491" s="4">
        <v>20</v>
      </c>
      <c r="F491" s="8">
        <v>2.1</v>
      </c>
      <c r="G491" s="4">
        <v>8</v>
      </c>
      <c r="H491" s="8">
        <v>0.68</v>
      </c>
      <c r="I491" s="4">
        <v>0</v>
      </c>
    </row>
    <row r="492" spans="1:9" x14ac:dyDescent="0.2">
      <c r="A492" s="2">
        <v>19</v>
      </c>
      <c r="B492" s="1" t="s">
        <v>170</v>
      </c>
      <c r="C492" s="4">
        <v>27</v>
      </c>
      <c r="D492" s="8">
        <v>1.27</v>
      </c>
      <c r="E492" s="4">
        <v>22</v>
      </c>
      <c r="F492" s="8">
        <v>2.31</v>
      </c>
      <c r="G492" s="4">
        <v>4</v>
      </c>
      <c r="H492" s="8">
        <v>0.34</v>
      </c>
      <c r="I492" s="4">
        <v>1</v>
      </c>
    </row>
    <row r="493" spans="1:9" x14ac:dyDescent="0.2">
      <c r="A493" s="2">
        <v>20</v>
      </c>
      <c r="B493" s="1" t="s">
        <v>154</v>
      </c>
      <c r="C493" s="4">
        <v>26</v>
      </c>
      <c r="D493" s="8">
        <v>1.22</v>
      </c>
      <c r="E493" s="4">
        <v>4</v>
      </c>
      <c r="F493" s="8">
        <v>0.42</v>
      </c>
      <c r="G493" s="4">
        <v>22</v>
      </c>
      <c r="H493" s="8">
        <v>1.88</v>
      </c>
      <c r="I493" s="4">
        <v>0</v>
      </c>
    </row>
    <row r="494" spans="1:9" x14ac:dyDescent="0.2">
      <c r="A494" s="2">
        <v>20</v>
      </c>
      <c r="B494" s="1" t="s">
        <v>215</v>
      </c>
      <c r="C494" s="4">
        <v>26</v>
      </c>
      <c r="D494" s="8">
        <v>1.22</v>
      </c>
      <c r="E494" s="4">
        <v>7</v>
      </c>
      <c r="F494" s="8">
        <v>0.74</v>
      </c>
      <c r="G494" s="4">
        <v>19</v>
      </c>
      <c r="H494" s="8">
        <v>1.62</v>
      </c>
      <c r="I494" s="4">
        <v>0</v>
      </c>
    </row>
    <row r="495" spans="1:9" x14ac:dyDescent="0.2">
      <c r="A495" s="2">
        <v>20</v>
      </c>
      <c r="B495" s="1" t="s">
        <v>158</v>
      </c>
      <c r="C495" s="4">
        <v>26</v>
      </c>
      <c r="D495" s="8">
        <v>1.22</v>
      </c>
      <c r="E495" s="4">
        <v>5</v>
      </c>
      <c r="F495" s="8">
        <v>0.53</v>
      </c>
      <c r="G495" s="4">
        <v>21</v>
      </c>
      <c r="H495" s="8">
        <v>1.79</v>
      </c>
      <c r="I495" s="4">
        <v>0</v>
      </c>
    </row>
    <row r="496" spans="1:9" x14ac:dyDescent="0.2">
      <c r="A496" s="1"/>
      <c r="C496" s="4"/>
      <c r="D496" s="8"/>
      <c r="E496" s="4"/>
      <c r="F496" s="8"/>
      <c r="G496" s="4"/>
      <c r="H496" s="8"/>
      <c r="I496" s="4"/>
    </row>
    <row r="497" spans="1:9" x14ac:dyDescent="0.2">
      <c r="A497" s="1" t="s">
        <v>22</v>
      </c>
      <c r="C497" s="4"/>
      <c r="D497" s="8"/>
      <c r="E497" s="4"/>
      <c r="F497" s="8"/>
      <c r="G497" s="4"/>
      <c r="H497" s="8"/>
      <c r="I497" s="4"/>
    </row>
    <row r="498" spans="1:9" x14ac:dyDescent="0.2">
      <c r="A498" s="2">
        <v>1</v>
      </c>
      <c r="B498" s="1" t="s">
        <v>160</v>
      </c>
      <c r="C498" s="4">
        <v>129</v>
      </c>
      <c r="D498" s="8">
        <v>5.29</v>
      </c>
      <c r="E498" s="4">
        <v>57</v>
      </c>
      <c r="F498" s="8">
        <v>4.97</v>
      </c>
      <c r="G498" s="4">
        <v>72</v>
      </c>
      <c r="H498" s="8">
        <v>5.57</v>
      </c>
      <c r="I498" s="4">
        <v>0</v>
      </c>
    </row>
    <row r="499" spans="1:9" x14ac:dyDescent="0.2">
      <c r="A499" s="2">
        <v>2</v>
      </c>
      <c r="B499" s="1" t="s">
        <v>169</v>
      </c>
      <c r="C499" s="4">
        <v>91</v>
      </c>
      <c r="D499" s="8">
        <v>3.73</v>
      </c>
      <c r="E499" s="4">
        <v>80</v>
      </c>
      <c r="F499" s="8">
        <v>6.98</v>
      </c>
      <c r="G499" s="4">
        <v>11</v>
      </c>
      <c r="H499" s="8">
        <v>0.85</v>
      </c>
      <c r="I499" s="4">
        <v>0</v>
      </c>
    </row>
    <row r="500" spans="1:9" x14ac:dyDescent="0.2">
      <c r="A500" s="2">
        <v>3</v>
      </c>
      <c r="B500" s="1" t="s">
        <v>167</v>
      </c>
      <c r="C500" s="4">
        <v>72</v>
      </c>
      <c r="D500" s="8">
        <v>2.95</v>
      </c>
      <c r="E500" s="4">
        <v>70</v>
      </c>
      <c r="F500" s="8">
        <v>6.11</v>
      </c>
      <c r="G500" s="4">
        <v>2</v>
      </c>
      <c r="H500" s="8">
        <v>0.15</v>
      </c>
      <c r="I500" s="4">
        <v>0</v>
      </c>
    </row>
    <row r="501" spans="1:9" x14ac:dyDescent="0.2">
      <c r="A501" s="2">
        <v>4</v>
      </c>
      <c r="B501" s="1" t="s">
        <v>171</v>
      </c>
      <c r="C501" s="4">
        <v>69</v>
      </c>
      <c r="D501" s="8">
        <v>2.83</v>
      </c>
      <c r="E501" s="4">
        <v>54</v>
      </c>
      <c r="F501" s="8">
        <v>4.71</v>
      </c>
      <c r="G501" s="4">
        <v>15</v>
      </c>
      <c r="H501" s="8">
        <v>1.1599999999999999</v>
      </c>
      <c r="I501" s="4">
        <v>0</v>
      </c>
    </row>
    <row r="502" spans="1:9" x14ac:dyDescent="0.2">
      <c r="A502" s="2">
        <v>5</v>
      </c>
      <c r="B502" s="1" t="s">
        <v>168</v>
      </c>
      <c r="C502" s="4">
        <v>58</v>
      </c>
      <c r="D502" s="8">
        <v>2.38</v>
      </c>
      <c r="E502" s="4">
        <v>57</v>
      </c>
      <c r="F502" s="8">
        <v>4.97</v>
      </c>
      <c r="G502" s="4">
        <v>1</v>
      </c>
      <c r="H502" s="8">
        <v>0.08</v>
      </c>
      <c r="I502" s="4">
        <v>0</v>
      </c>
    </row>
    <row r="503" spans="1:9" x14ac:dyDescent="0.2">
      <c r="A503" s="2">
        <v>6</v>
      </c>
      <c r="B503" s="1" t="s">
        <v>165</v>
      </c>
      <c r="C503" s="4">
        <v>57</v>
      </c>
      <c r="D503" s="8">
        <v>2.34</v>
      </c>
      <c r="E503" s="4">
        <v>50</v>
      </c>
      <c r="F503" s="8">
        <v>4.3600000000000003</v>
      </c>
      <c r="G503" s="4">
        <v>7</v>
      </c>
      <c r="H503" s="8">
        <v>0.54</v>
      </c>
      <c r="I503" s="4">
        <v>0</v>
      </c>
    </row>
    <row r="504" spans="1:9" x14ac:dyDescent="0.2">
      <c r="A504" s="2">
        <v>7</v>
      </c>
      <c r="B504" s="1" t="s">
        <v>156</v>
      </c>
      <c r="C504" s="4">
        <v>51</v>
      </c>
      <c r="D504" s="8">
        <v>2.09</v>
      </c>
      <c r="E504" s="4">
        <v>40</v>
      </c>
      <c r="F504" s="8">
        <v>3.49</v>
      </c>
      <c r="G504" s="4">
        <v>11</v>
      </c>
      <c r="H504" s="8">
        <v>0.85</v>
      </c>
      <c r="I504" s="4">
        <v>0</v>
      </c>
    </row>
    <row r="505" spans="1:9" x14ac:dyDescent="0.2">
      <c r="A505" s="2">
        <v>8</v>
      </c>
      <c r="B505" s="1" t="s">
        <v>157</v>
      </c>
      <c r="C505" s="4">
        <v>47</v>
      </c>
      <c r="D505" s="8">
        <v>1.93</v>
      </c>
      <c r="E505" s="4">
        <v>38</v>
      </c>
      <c r="F505" s="8">
        <v>3.32</v>
      </c>
      <c r="G505" s="4">
        <v>9</v>
      </c>
      <c r="H505" s="8">
        <v>0.7</v>
      </c>
      <c r="I505" s="4">
        <v>0</v>
      </c>
    </row>
    <row r="506" spans="1:9" x14ac:dyDescent="0.2">
      <c r="A506" s="2">
        <v>9</v>
      </c>
      <c r="B506" s="1" t="s">
        <v>216</v>
      </c>
      <c r="C506" s="4">
        <v>44</v>
      </c>
      <c r="D506" s="8">
        <v>1.8</v>
      </c>
      <c r="E506" s="4">
        <v>2</v>
      </c>
      <c r="F506" s="8">
        <v>0.17</v>
      </c>
      <c r="G506" s="4">
        <v>42</v>
      </c>
      <c r="H506" s="8">
        <v>3.25</v>
      </c>
      <c r="I506" s="4">
        <v>0</v>
      </c>
    </row>
    <row r="507" spans="1:9" x14ac:dyDescent="0.2">
      <c r="A507" s="2">
        <v>10</v>
      </c>
      <c r="B507" s="1" t="s">
        <v>155</v>
      </c>
      <c r="C507" s="4">
        <v>42</v>
      </c>
      <c r="D507" s="8">
        <v>1.72</v>
      </c>
      <c r="E507" s="4">
        <v>30</v>
      </c>
      <c r="F507" s="8">
        <v>2.62</v>
      </c>
      <c r="G507" s="4">
        <v>12</v>
      </c>
      <c r="H507" s="8">
        <v>0.93</v>
      </c>
      <c r="I507" s="4">
        <v>0</v>
      </c>
    </row>
    <row r="508" spans="1:9" x14ac:dyDescent="0.2">
      <c r="A508" s="2">
        <v>10</v>
      </c>
      <c r="B508" s="1" t="s">
        <v>176</v>
      </c>
      <c r="C508" s="4">
        <v>42</v>
      </c>
      <c r="D508" s="8">
        <v>1.72</v>
      </c>
      <c r="E508" s="4">
        <v>15</v>
      </c>
      <c r="F508" s="8">
        <v>1.31</v>
      </c>
      <c r="G508" s="4">
        <v>27</v>
      </c>
      <c r="H508" s="8">
        <v>2.09</v>
      </c>
      <c r="I508" s="4">
        <v>0</v>
      </c>
    </row>
    <row r="509" spans="1:9" x14ac:dyDescent="0.2">
      <c r="A509" s="2">
        <v>10</v>
      </c>
      <c r="B509" s="1" t="s">
        <v>164</v>
      </c>
      <c r="C509" s="4">
        <v>42</v>
      </c>
      <c r="D509" s="8">
        <v>1.72</v>
      </c>
      <c r="E509" s="4">
        <v>39</v>
      </c>
      <c r="F509" s="8">
        <v>3.4</v>
      </c>
      <c r="G509" s="4">
        <v>3</v>
      </c>
      <c r="H509" s="8">
        <v>0.23</v>
      </c>
      <c r="I509" s="4">
        <v>0</v>
      </c>
    </row>
    <row r="510" spans="1:9" x14ac:dyDescent="0.2">
      <c r="A510" s="2">
        <v>13</v>
      </c>
      <c r="B510" s="1" t="s">
        <v>152</v>
      </c>
      <c r="C510" s="4">
        <v>37</v>
      </c>
      <c r="D510" s="8">
        <v>1.52</v>
      </c>
      <c r="E510" s="4">
        <v>4</v>
      </c>
      <c r="F510" s="8">
        <v>0.35</v>
      </c>
      <c r="G510" s="4">
        <v>33</v>
      </c>
      <c r="H510" s="8">
        <v>2.5499999999999998</v>
      </c>
      <c r="I510" s="4">
        <v>0</v>
      </c>
    </row>
    <row r="511" spans="1:9" x14ac:dyDescent="0.2">
      <c r="A511" s="2">
        <v>14</v>
      </c>
      <c r="B511" s="1" t="s">
        <v>217</v>
      </c>
      <c r="C511" s="4">
        <v>36</v>
      </c>
      <c r="D511" s="8">
        <v>1.48</v>
      </c>
      <c r="E511" s="4">
        <v>8</v>
      </c>
      <c r="F511" s="8">
        <v>0.7</v>
      </c>
      <c r="G511" s="4">
        <v>28</v>
      </c>
      <c r="H511" s="8">
        <v>2.17</v>
      </c>
      <c r="I511" s="4">
        <v>0</v>
      </c>
    </row>
    <row r="512" spans="1:9" x14ac:dyDescent="0.2">
      <c r="A512" s="2">
        <v>14</v>
      </c>
      <c r="B512" s="1" t="s">
        <v>159</v>
      </c>
      <c r="C512" s="4">
        <v>36</v>
      </c>
      <c r="D512" s="8">
        <v>1.48</v>
      </c>
      <c r="E512" s="4">
        <v>2</v>
      </c>
      <c r="F512" s="8">
        <v>0.17</v>
      </c>
      <c r="G512" s="4">
        <v>34</v>
      </c>
      <c r="H512" s="8">
        <v>2.63</v>
      </c>
      <c r="I512" s="4">
        <v>0</v>
      </c>
    </row>
    <row r="513" spans="1:9" x14ac:dyDescent="0.2">
      <c r="A513" s="2">
        <v>16</v>
      </c>
      <c r="B513" s="1" t="s">
        <v>158</v>
      </c>
      <c r="C513" s="4">
        <v>34</v>
      </c>
      <c r="D513" s="8">
        <v>1.39</v>
      </c>
      <c r="E513" s="4">
        <v>12</v>
      </c>
      <c r="F513" s="8">
        <v>1.05</v>
      </c>
      <c r="G513" s="4">
        <v>22</v>
      </c>
      <c r="H513" s="8">
        <v>1.7</v>
      </c>
      <c r="I513" s="4">
        <v>0</v>
      </c>
    </row>
    <row r="514" spans="1:9" x14ac:dyDescent="0.2">
      <c r="A514" s="2">
        <v>17</v>
      </c>
      <c r="B514" s="1" t="s">
        <v>161</v>
      </c>
      <c r="C514" s="4">
        <v>32</v>
      </c>
      <c r="D514" s="8">
        <v>1.31</v>
      </c>
      <c r="E514" s="4">
        <v>18</v>
      </c>
      <c r="F514" s="8">
        <v>1.57</v>
      </c>
      <c r="G514" s="4">
        <v>14</v>
      </c>
      <c r="H514" s="8">
        <v>1.08</v>
      </c>
      <c r="I514" s="4">
        <v>0</v>
      </c>
    </row>
    <row r="515" spans="1:9" x14ac:dyDescent="0.2">
      <c r="A515" s="2">
        <v>18</v>
      </c>
      <c r="B515" s="1" t="s">
        <v>198</v>
      </c>
      <c r="C515" s="4">
        <v>31</v>
      </c>
      <c r="D515" s="8">
        <v>1.27</v>
      </c>
      <c r="E515" s="4">
        <v>16</v>
      </c>
      <c r="F515" s="8">
        <v>1.4</v>
      </c>
      <c r="G515" s="4">
        <v>15</v>
      </c>
      <c r="H515" s="8">
        <v>1.1599999999999999</v>
      </c>
      <c r="I515" s="4">
        <v>0</v>
      </c>
    </row>
    <row r="516" spans="1:9" x14ac:dyDescent="0.2">
      <c r="A516" s="2">
        <v>19</v>
      </c>
      <c r="B516" s="1" t="s">
        <v>190</v>
      </c>
      <c r="C516" s="4">
        <v>30</v>
      </c>
      <c r="D516" s="8">
        <v>1.23</v>
      </c>
      <c r="E516" s="4">
        <v>4</v>
      </c>
      <c r="F516" s="8">
        <v>0.35</v>
      </c>
      <c r="G516" s="4">
        <v>26</v>
      </c>
      <c r="H516" s="8">
        <v>2.0099999999999998</v>
      </c>
      <c r="I516" s="4">
        <v>0</v>
      </c>
    </row>
    <row r="517" spans="1:9" x14ac:dyDescent="0.2">
      <c r="A517" s="2">
        <v>19</v>
      </c>
      <c r="B517" s="1" t="s">
        <v>181</v>
      </c>
      <c r="C517" s="4">
        <v>30</v>
      </c>
      <c r="D517" s="8">
        <v>1.23</v>
      </c>
      <c r="E517" s="4">
        <v>26</v>
      </c>
      <c r="F517" s="8">
        <v>2.27</v>
      </c>
      <c r="G517" s="4">
        <v>4</v>
      </c>
      <c r="H517" s="8">
        <v>0.31</v>
      </c>
      <c r="I517" s="4">
        <v>0</v>
      </c>
    </row>
    <row r="518" spans="1:9" x14ac:dyDescent="0.2">
      <c r="A518" s="1"/>
      <c r="C518" s="4"/>
      <c r="D518" s="8"/>
      <c r="E518" s="4"/>
      <c r="F518" s="8"/>
      <c r="G518" s="4"/>
      <c r="H518" s="8"/>
      <c r="I518" s="4"/>
    </row>
    <row r="519" spans="1:9" x14ac:dyDescent="0.2">
      <c r="A519" s="1" t="s">
        <v>23</v>
      </c>
      <c r="C519" s="4"/>
      <c r="D519" s="8"/>
      <c r="E519" s="4"/>
      <c r="F519" s="8"/>
      <c r="G519" s="4"/>
      <c r="H519" s="8"/>
      <c r="I519" s="4"/>
    </row>
    <row r="520" spans="1:9" x14ac:dyDescent="0.2">
      <c r="A520" s="2">
        <v>1</v>
      </c>
      <c r="B520" s="1" t="s">
        <v>160</v>
      </c>
      <c r="C520" s="4">
        <v>225</v>
      </c>
      <c r="D520" s="8">
        <v>4.8600000000000003</v>
      </c>
      <c r="E520" s="4">
        <v>56</v>
      </c>
      <c r="F520" s="8">
        <v>2.48</v>
      </c>
      <c r="G520" s="4">
        <v>169</v>
      </c>
      <c r="H520" s="8">
        <v>7.13</v>
      </c>
      <c r="I520" s="4">
        <v>0</v>
      </c>
    </row>
    <row r="521" spans="1:9" x14ac:dyDescent="0.2">
      <c r="A521" s="2">
        <v>2</v>
      </c>
      <c r="B521" s="1" t="s">
        <v>159</v>
      </c>
      <c r="C521" s="4">
        <v>147</v>
      </c>
      <c r="D521" s="8">
        <v>3.17</v>
      </c>
      <c r="E521" s="4">
        <v>15</v>
      </c>
      <c r="F521" s="8">
        <v>0.67</v>
      </c>
      <c r="G521" s="4">
        <v>132</v>
      </c>
      <c r="H521" s="8">
        <v>5.57</v>
      </c>
      <c r="I521" s="4">
        <v>0</v>
      </c>
    </row>
    <row r="522" spans="1:9" x14ac:dyDescent="0.2">
      <c r="A522" s="2">
        <v>3</v>
      </c>
      <c r="B522" s="1" t="s">
        <v>169</v>
      </c>
      <c r="C522" s="4">
        <v>146</v>
      </c>
      <c r="D522" s="8">
        <v>3.15</v>
      </c>
      <c r="E522" s="4">
        <v>128</v>
      </c>
      <c r="F522" s="8">
        <v>5.68</v>
      </c>
      <c r="G522" s="4">
        <v>18</v>
      </c>
      <c r="H522" s="8">
        <v>0.76</v>
      </c>
      <c r="I522" s="4">
        <v>0</v>
      </c>
    </row>
    <row r="523" spans="1:9" x14ac:dyDescent="0.2">
      <c r="A523" s="2">
        <v>4</v>
      </c>
      <c r="B523" s="1" t="s">
        <v>171</v>
      </c>
      <c r="C523" s="4">
        <v>139</v>
      </c>
      <c r="D523" s="8">
        <v>3</v>
      </c>
      <c r="E523" s="4">
        <v>123</v>
      </c>
      <c r="F523" s="8">
        <v>5.45</v>
      </c>
      <c r="G523" s="4">
        <v>16</v>
      </c>
      <c r="H523" s="8">
        <v>0.68</v>
      </c>
      <c r="I523" s="4">
        <v>0</v>
      </c>
    </row>
    <row r="524" spans="1:9" x14ac:dyDescent="0.2">
      <c r="A524" s="2">
        <v>5</v>
      </c>
      <c r="B524" s="1" t="s">
        <v>167</v>
      </c>
      <c r="C524" s="4">
        <v>136</v>
      </c>
      <c r="D524" s="8">
        <v>2.94</v>
      </c>
      <c r="E524" s="4">
        <v>132</v>
      </c>
      <c r="F524" s="8">
        <v>5.85</v>
      </c>
      <c r="G524" s="4">
        <v>4</v>
      </c>
      <c r="H524" s="8">
        <v>0.17</v>
      </c>
      <c r="I524" s="4">
        <v>0</v>
      </c>
    </row>
    <row r="525" spans="1:9" x14ac:dyDescent="0.2">
      <c r="A525" s="2">
        <v>6</v>
      </c>
      <c r="B525" s="1" t="s">
        <v>192</v>
      </c>
      <c r="C525" s="4">
        <v>117</v>
      </c>
      <c r="D525" s="8">
        <v>2.5299999999999998</v>
      </c>
      <c r="E525" s="4">
        <v>51</v>
      </c>
      <c r="F525" s="8">
        <v>2.2599999999999998</v>
      </c>
      <c r="G525" s="4">
        <v>66</v>
      </c>
      <c r="H525" s="8">
        <v>2.79</v>
      </c>
      <c r="I525" s="4">
        <v>0</v>
      </c>
    </row>
    <row r="526" spans="1:9" x14ac:dyDescent="0.2">
      <c r="A526" s="2">
        <v>7</v>
      </c>
      <c r="B526" s="1" t="s">
        <v>165</v>
      </c>
      <c r="C526" s="4">
        <v>104</v>
      </c>
      <c r="D526" s="8">
        <v>2.25</v>
      </c>
      <c r="E526" s="4">
        <v>101</v>
      </c>
      <c r="F526" s="8">
        <v>4.4800000000000004</v>
      </c>
      <c r="G526" s="4">
        <v>3</v>
      </c>
      <c r="H526" s="8">
        <v>0.13</v>
      </c>
      <c r="I526" s="4">
        <v>0</v>
      </c>
    </row>
    <row r="527" spans="1:9" x14ac:dyDescent="0.2">
      <c r="A527" s="2">
        <v>8</v>
      </c>
      <c r="B527" s="1" t="s">
        <v>168</v>
      </c>
      <c r="C527" s="4">
        <v>90</v>
      </c>
      <c r="D527" s="8">
        <v>1.94</v>
      </c>
      <c r="E527" s="4">
        <v>88</v>
      </c>
      <c r="F527" s="8">
        <v>3.9</v>
      </c>
      <c r="G527" s="4">
        <v>2</v>
      </c>
      <c r="H527" s="8">
        <v>0.08</v>
      </c>
      <c r="I527" s="4">
        <v>0</v>
      </c>
    </row>
    <row r="528" spans="1:9" x14ac:dyDescent="0.2">
      <c r="A528" s="2">
        <v>9</v>
      </c>
      <c r="B528" s="1" t="s">
        <v>162</v>
      </c>
      <c r="C528" s="4">
        <v>83</v>
      </c>
      <c r="D528" s="8">
        <v>1.79</v>
      </c>
      <c r="E528" s="4">
        <v>3</v>
      </c>
      <c r="F528" s="8">
        <v>0.13</v>
      </c>
      <c r="G528" s="4">
        <v>80</v>
      </c>
      <c r="H528" s="8">
        <v>3.38</v>
      </c>
      <c r="I528" s="4">
        <v>0</v>
      </c>
    </row>
    <row r="529" spans="1:9" x14ac:dyDescent="0.2">
      <c r="A529" s="2">
        <v>10</v>
      </c>
      <c r="B529" s="1" t="s">
        <v>157</v>
      </c>
      <c r="C529" s="4">
        <v>81</v>
      </c>
      <c r="D529" s="8">
        <v>1.75</v>
      </c>
      <c r="E529" s="4">
        <v>58</v>
      </c>
      <c r="F529" s="8">
        <v>2.57</v>
      </c>
      <c r="G529" s="4">
        <v>23</v>
      </c>
      <c r="H529" s="8">
        <v>0.97</v>
      </c>
      <c r="I529" s="4">
        <v>0</v>
      </c>
    </row>
    <row r="530" spans="1:9" x14ac:dyDescent="0.2">
      <c r="A530" s="2">
        <v>11</v>
      </c>
      <c r="B530" s="1" t="s">
        <v>161</v>
      </c>
      <c r="C530" s="4">
        <v>77</v>
      </c>
      <c r="D530" s="8">
        <v>1.66</v>
      </c>
      <c r="E530" s="4">
        <v>37</v>
      </c>
      <c r="F530" s="8">
        <v>1.64</v>
      </c>
      <c r="G530" s="4">
        <v>39</v>
      </c>
      <c r="H530" s="8">
        <v>1.65</v>
      </c>
      <c r="I530" s="4">
        <v>1</v>
      </c>
    </row>
    <row r="531" spans="1:9" x14ac:dyDescent="0.2">
      <c r="A531" s="2">
        <v>12</v>
      </c>
      <c r="B531" s="1" t="s">
        <v>202</v>
      </c>
      <c r="C531" s="4">
        <v>72</v>
      </c>
      <c r="D531" s="8">
        <v>1.56</v>
      </c>
      <c r="E531" s="4">
        <v>37</v>
      </c>
      <c r="F531" s="8">
        <v>1.64</v>
      </c>
      <c r="G531" s="4">
        <v>35</v>
      </c>
      <c r="H531" s="8">
        <v>1.48</v>
      </c>
      <c r="I531" s="4">
        <v>0</v>
      </c>
    </row>
    <row r="532" spans="1:9" x14ac:dyDescent="0.2">
      <c r="A532" s="2">
        <v>13</v>
      </c>
      <c r="B532" s="1" t="s">
        <v>164</v>
      </c>
      <c r="C532" s="4">
        <v>70</v>
      </c>
      <c r="D532" s="8">
        <v>1.51</v>
      </c>
      <c r="E532" s="4">
        <v>63</v>
      </c>
      <c r="F532" s="8">
        <v>2.79</v>
      </c>
      <c r="G532" s="4">
        <v>7</v>
      </c>
      <c r="H532" s="8">
        <v>0.3</v>
      </c>
      <c r="I532" s="4">
        <v>0</v>
      </c>
    </row>
    <row r="533" spans="1:9" x14ac:dyDescent="0.2">
      <c r="A533" s="2">
        <v>14</v>
      </c>
      <c r="B533" s="1" t="s">
        <v>153</v>
      </c>
      <c r="C533" s="4">
        <v>67</v>
      </c>
      <c r="D533" s="8">
        <v>1.45</v>
      </c>
      <c r="E533" s="4">
        <v>16</v>
      </c>
      <c r="F533" s="8">
        <v>0.71</v>
      </c>
      <c r="G533" s="4">
        <v>50</v>
      </c>
      <c r="H533" s="8">
        <v>2.11</v>
      </c>
      <c r="I533" s="4">
        <v>1</v>
      </c>
    </row>
    <row r="534" spans="1:9" x14ac:dyDescent="0.2">
      <c r="A534" s="2">
        <v>14</v>
      </c>
      <c r="B534" s="1" t="s">
        <v>156</v>
      </c>
      <c r="C534" s="4">
        <v>67</v>
      </c>
      <c r="D534" s="8">
        <v>1.45</v>
      </c>
      <c r="E534" s="4">
        <v>56</v>
      </c>
      <c r="F534" s="8">
        <v>2.48</v>
      </c>
      <c r="G534" s="4">
        <v>11</v>
      </c>
      <c r="H534" s="8">
        <v>0.46</v>
      </c>
      <c r="I534" s="4">
        <v>0</v>
      </c>
    </row>
    <row r="535" spans="1:9" x14ac:dyDescent="0.2">
      <c r="A535" s="2">
        <v>16</v>
      </c>
      <c r="B535" s="1" t="s">
        <v>174</v>
      </c>
      <c r="C535" s="4">
        <v>61</v>
      </c>
      <c r="D535" s="8">
        <v>1.32</v>
      </c>
      <c r="E535" s="4">
        <v>12</v>
      </c>
      <c r="F535" s="8">
        <v>0.53</v>
      </c>
      <c r="G535" s="4">
        <v>49</v>
      </c>
      <c r="H535" s="8">
        <v>2.0699999999999998</v>
      </c>
      <c r="I535" s="4">
        <v>0</v>
      </c>
    </row>
    <row r="536" spans="1:9" x14ac:dyDescent="0.2">
      <c r="A536" s="2">
        <v>17</v>
      </c>
      <c r="B536" s="1" t="s">
        <v>175</v>
      </c>
      <c r="C536" s="4">
        <v>59</v>
      </c>
      <c r="D536" s="8">
        <v>1.27</v>
      </c>
      <c r="E536" s="4">
        <v>25</v>
      </c>
      <c r="F536" s="8">
        <v>1.1100000000000001</v>
      </c>
      <c r="G536" s="4">
        <v>34</v>
      </c>
      <c r="H536" s="8">
        <v>1.44</v>
      </c>
      <c r="I536" s="4">
        <v>0</v>
      </c>
    </row>
    <row r="537" spans="1:9" x14ac:dyDescent="0.2">
      <c r="A537" s="2">
        <v>18</v>
      </c>
      <c r="B537" s="1" t="s">
        <v>215</v>
      </c>
      <c r="C537" s="4">
        <v>57</v>
      </c>
      <c r="D537" s="8">
        <v>1.23</v>
      </c>
      <c r="E537" s="4">
        <v>37</v>
      </c>
      <c r="F537" s="8">
        <v>1.64</v>
      </c>
      <c r="G537" s="4">
        <v>20</v>
      </c>
      <c r="H537" s="8">
        <v>0.84</v>
      </c>
      <c r="I537" s="4">
        <v>0</v>
      </c>
    </row>
    <row r="538" spans="1:9" x14ac:dyDescent="0.2">
      <c r="A538" s="2">
        <v>19</v>
      </c>
      <c r="B538" s="1" t="s">
        <v>218</v>
      </c>
      <c r="C538" s="4">
        <v>54</v>
      </c>
      <c r="D538" s="8">
        <v>1.17</v>
      </c>
      <c r="E538" s="4">
        <v>5</v>
      </c>
      <c r="F538" s="8">
        <v>0.22</v>
      </c>
      <c r="G538" s="4">
        <v>49</v>
      </c>
      <c r="H538" s="8">
        <v>2.0699999999999998</v>
      </c>
      <c r="I538" s="4">
        <v>0</v>
      </c>
    </row>
    <row r="539" spans="1:9" x14ac:dyDescent="0.2">
      <c r="A539" s="2">
        <v>20</v>
      </c>
      <c r="B539" s="1" t="s">
        <v>158</v>
      </c>
      <c r="C539" s="4">
        <v>53</v>
      </c>
      <c r="D539" s="8">
        <v>1.1399999999999999</v>
      </c>
      <c r="E539" s="4">
        <v>14</v>
      </c>
      <c r="F539" s="8">
        <v>0.62</v>
      </c>
      <c r="G539" s="4">
        <v>39</v>
      </c>
      <c r="H539" s="8">
        <v>1.65</v>
      </c>
      <c r="I539" s="4">
        <v>0</v>
      </c>
    </row>
    <row r="540" spans="1:9" x14ac:dyDescent="0.2">
      <c r="A540" s="1"/>
      <c r="C540" s="4"/>
      <c r="D540" s="8"/>
      <c r="E540" s="4"/>
      <c r="F540" s="8"/>
      <c r="G540" s="4"/>
      <c r="H540" s="8"/>
      <c r="I540" s="4"/>
    </row>
    <row r="541" spans="1:9" x14ac:dyDescent="0.2">
      <c r="A541" s="1" t="s">
        <v>24</v>
      </c>
      <c r="C541" s="4"/>
      <c r="D541" s="8"/>
      <c r="E541" s="4"/>
      <c r="F541" s="8"/>
      <c r="G541" s="4"/>
      <c r="H541" s="8"/>
      <c r="I541" s="4"/>
    </row>
    <row r="542" spans="1:9" x14ac:dyDescent="0.2">
      <c r="A542" s="2">
        <v>1</v>
      </c>
      <c r="B542" s="1" t="s">
        <v>166</v>
      </c>
      <c r="C542" s="4">
        <v>761</v>
      </c>
      <c r="D542" s="8">
        <v>5.69</v>
      </c>
      <c r="E542" s="4">
        <v>661</v>
      </c>
      <c r="F542" s="8">
        <v>12.53</v>
      </c>
      <c r="G542" s="4">
        <v>100</v>
      </c>
      <c r="H542" s="8">
        <v>1.24</v>
      </c>
      <c r="I542" s="4">
        <v>0</v>
      </c>
    </row>
    <row r="543" spans="1:9" x14ac:dyDescent="0.2">
      <c r="A543" s="2">
        <v>2</v>
      </c>
      <c r="B543" s="1" t="s">
        <v>219</v>
      </c>
      <c r="C543" s="4">
        <v>742</v>
      </c>
      <c r="D543" s="8">
        <v>5.55</v>
      </c>
      <c r="E543" s="4">
        <v>711</v>
      </c>
      <c r="F543" s="8">
        <v>13.48</v>
      </c>
      <c r="G543" s="4">
        <v>31</v>
      </c>
      <c r="H543" s="8">
        <v>0.38</v>
      </c>
      <c r="I543" s="4">
        <v>0</v>
      </c>
    </row>
    <row r="544" spans="1:9" x14ac:dyDescent="0.2">
      <c r="A544" s="2">
        <v>3</v>
      </c>
      <c r="B544" s="1" t="s">
        <v>164</v>
      </c>
      <c r="C544" s="4">
        <v>647</v>
      </c>
      <c r="D544" s="8">
        <v>4.84</v>
      </c>
      <c r="E544" s="4">
        <v>424</v>
      </c>
      <c r="F544" s="8">
        <v>8.0399999999999991</v>
      </c>
      <c r="G544" s="4">
        <v>223</v>
      </c>
      <c r="H544" s="8">
        <v>2.77</v>
      </c>
      <c r="I544" s="4">
        <v>0</v>
      </c>
    </row>
    <row r="545" spans="1:9" x14ac:dyDescent="0.2">
      <c r="A545" s="2">
        <v>4</v>
      </c>
      <c r="B545" s="1" t="s">
        <v>163</v>
      </c>
      <c r="C545" s="4">
        <v>484</v>
      </c>
      <c r="D545" s="8">
        <v>3.62</v>
      </c>
      <c r="E545" s="4">
        <v>452</v>
      </c>
      <c r="F545" s="8">
        <v>8.57</v>
      </c>
      <c r="G545" s="4">
        <v>32</v>
      </c>
      <c r="H545" s="8">
        <v>0.4</v>
      </c>
      <c r="I545" s="4">
        <v>0</v>
      </c>
    </row>
    <row r="546" spans="1:9" x14ac:dyDescent="0.2">
      <c r="A546" s="2">
        <v>5</v>
      </c>
      <c r="B546" s="1" t="s">
        <v>165</v>
      </c>
      <c r="C546" s="4">
        <v>473</v>
      </c>
      <c r="D546" s="8">
        <v>3.54</v>
      </c>
      <c r="E546" s="4">
        <v>373</v>
      </c>
      <c r="F546" s="8">
        <v>7.07</v>
      </c>
      <c r="G546" s="4">
        <v>100</v>
      </c>
      <c r="H546" s="8">
        <v>1.24</v>
      </c>
      <c r="I546" s="4">
        <v>0</v>
      </c>
    </row>
    <row r="547" spans="1:9" x14ac:dyDescent="0.2">
      <c r="A547" s="2">
        <v>6</v>
      </c>
      <c r="B547" s="1" t="s">
        <v>160</v>
      </c>
      <c r="C547" s="4">
        <v>441</v>
      </c>
      <c r="D547" s="8">
        <v>3.3</v>
      </c>
      <c r="E547" s="4">
        <v>92</v>
      </c>
      <c r="F547" s="8">
        <v>1.74</v>
      </c>
      <c r="G547" s="4">
        <v>349</v>
      </c>
      <c r="H547" s="8">
        <v>4.33</v>
      </c>
      <c r="I547" s="4">
        <v>0</v>
      </c>
    </row>
    <row r="548" spans="1:9" x14ac:dyDescent="0.2">
      <c r="A548" s="2">
        <v>7</v>
      </c>
      <c r="B548" s="1" t="s">
        <v>159</v>
      </c>
      <c r="C548" s="4">
        <v>420</v>
      </c>
      <c r="D548" s="8">
        <v>3.14</v>
      </c>
      <c r="E548" s="4">
        <v>120</v>
      </c>
      <c r="F548" s="8">
        <v>2.27</v>
      </c>
      <c r="G548" s="4">
        <v>300</v>
      </c>
      <c r="H548" s="8">
        <v>3.72</v>
      </c>
      <c r="I548" s="4">
        <v>0</v>
      </c>
    </row>
    <row r="549" spans="1:9" x14ac:dyDescent="0.2">
      <c r="A549" s="2">
        <v>8</v>
      </c>
      <c r="B549" s="1" t="s">
        <v>172</v>
      </c>
      <c r="C549" s="4">
        <v>307</v>
      </c>
      <c r="D549" s="8">
        <v>2.2999999999999998</v>
      </c>
      <c r="E549" s="4">
        <v>96</v>
      </c>
      <c r="F549" s="8">
        <v>1.82</v>
      </c>
      <c r="G549" s="4">
        <v>209</v>
      </c>
      <c r="H549" s="8">
        <v>2.59</v>
      </c>
      <c r="I549" s="4">
        <v>1</v>
      </c>
    </row>
    <row r="550" spans="1:9" x14ac:dyDescent="0.2">
      <c r="A550" s="2">
        <v>9</v>
      </c>
      <c r="B550" s="1" t="s">
        <v>173</v>
      </c>
      <c r="C550" s="4">
        <v>284</v>
      </c>
      <c r="D550" s="8">
        <v>2.12</v>
      </c>
      <c r="E550" s="4">
        <v>19</v>
      </c>
      <c r="F550" s="8">
        <v>0.36</v>
      </c>
      <c r="G550" s="4">
        <v>259</v>
      </c>
      <c r="H550" s="8">
        <v>3.21</v>
      </c>
      <c r="I550" s="4">
        <v>4</v>
      </c>
    </row>
    <row r="551" spans="1:9" x14ac:dyDescent="0.2">
      <c r="A551" s="2">
        <v>10</v>
      </c>
      <c r="B551" s="1" t="s">
        <v>157</v>
      </c>
      <c r="C551" s="4">
        <v>279</v>
      </c>
      <c r="D551" s="8">
        <v>2.09</v>
      </c>
      <c r="E551" s="4">
        <v>143</v>
      </c>
      <c r="F551" s="8">
        <v>2.71</v>
      </c>
      <c r="G551" s="4">
        <v>136</v>
      </c>
      <c r="H551" s="8">
        <v>1.69</v>
      </c>
      <c r="I551" s="4">
        <v>0</v>
      </c>
    </row>
    <row r="552" spans="1:9" x14ac:dyDescent="0.2">
      <c r="A552" s="2">
        <v>11</v>
      </c>
      <c r="B552" s="1" t="s">
        <v>189</v>
      </c>
      <c r="C552" s="4">
        <v>274</v>
      </c>
      <c r="D552" s="8">
        <v>2.0499999999999998</v>
      </c>
      <c r="E552" s="4">
        <v>29</v>
      </c>
      <c r="F552" s="8">
        <v>0.55000000000000004</v>
      </c>
      <c r="G552" s="4">
        <v>241</v>
      </c>
      <c r="H552" s="8">
        <v>2.99</v>
      </c>
      <c r="I552" s="4">
        <v>4</v>
      </c>
    </row>
    <row r="553" spans="1:9" x14ac:dyDescent="0.2">
      <c r="A553" s="2">
        <v>12</v>
      </c>
      <c r="B553" s="1" t="s">
        <v>158</v>
      </c>
      <c r="C553" s="4">
        <v>259</v>
      </c>
      <c r="D553" s="8">
        <v>1.94</v>
      </c>
      <c r="E553" s="4">
        <v>25</v>
      </c>
      <c r="F553" s="8">
        <v>0.47</v>
      </c>
      <c r="G553" s="4">
        <v>234</v>
      </c>
      <c r="H553" s="8">
        <v>2.9</v>
      </c>
      <c r="I553" s="4">
        <v>0</v>
      </c>
    </row>
    <row r="554" spans="1:9" x14ac:dyDescent="0.2">
      <c r="A554" s="2">
        <v>13</v>
      </c>
      <c r="B554" s="1" t="s">
        <v>188</v>
      </c>
      <c r="C554" s="4">
        <v>252</v>
      </c>
      <c r="D554" s="8">
        <v>1.89</v>
      </c>
      <c r="E554" s="4">
        <v>7</v>
      </c>
      <c r="F554" s="8">
        <v>0.13</v>
      </c>
      <c r="G554" s="4">
        <v>245</v>
      </c>
      <c r="H554" s="8">
        <v>3.04</v>
      </c>
      <c r="I554" s="4">
        <v>0</v>
      </c>
    </row>
    <row r="555" spans="1:9" x14ac:dyDescent="0.2">
      <c r="A555" s="2">
        <v>14</v>
      </c>
      <c r="B555" s="1" t="s">
        <v>171</v>
      </c>
      <c r="C555" s="4">
        <v>230</v>
      </c>
      <c r="D555" s="8">
        <v>1.72</v>
      </c>
      <c r="E555" s="4">
        <v>174</v>
      </c>
      <c r="F555" s="8">
        <v>3.3</v>
      </c>
      <c r="G555" s="4">
        <v>56</v>
      </c>
      <c r="H555" s="8">
        <v>0.69</v>
      </c>
      <c r="I555" s="4">
        <v>0</v>
      </c>
    </row>
    <row r="556" spans="1:9" x14ac:dyDescent="0.2">
      <c r="A556" s="2">
        <v>15</v>
      </c>
      <c r="B556" s="1" t="s">
        <v>169</v>
      </c>
      <c r="C556" s="4">
        <v>226</v>
      </c>
      <c r="D556" s="8">
        <v>1.69</v>
      </c>
      <c r="E556" s="4">
        <v>174</v>
      </c>
      <c r="F556" s="8">
        <v>3.3</v>
      </c>
      <c r="G556" s="4">
        <v>52</v>
      </c>
      <c r="H556" s="8">
        <v>0.64</v>
      </c>
      <c r="I556" s="4">
        <v>0</v>
      </c>
    </row>
    <row r="557" spans="1:9" x14ac:dyDescent="0.2">
      <c r="A557" s="2">
        <v>16</v>
      </c>
      <c r="B557" s="1" t="s">
        <v>167</v>
      </c>
      <c r="C557" s="4">
        <v>225</v>
      </c>
      <c r="D557" s="8">
        <v>1.68</v>
      </c>
      <c r="E557" s="4">
        <v>175</v>
      </c>
      <c r="F557" s="8">
        <v>3.32</v>
      </c>
      <c r="G557" s="4">
        <v>49</v>
      </c>
      <c r="H557" s="8">
        <v>0.61</v>
      </c>
      <c r="I557" s="4">
        <v>1</v>
      </c>
    </row>
    <row r="558" spans="1:9" x14ac:dyDescent="0.2">
      <c r="A558" s="2">
        <v>17</v>
      </c>
      <c r="B558" s="1" t="s">
        <v>155</v>
      </c>
      <c r="C558" s="4">
        <v>221</v>
      </c>
      <c r="D558" s="8">
        <v>1.65</v>
      </c>
      <c r="E558" s="4">
        <v>30</v>
      </c>
      <c r="F558" s="8">
        <v>0.56999999999999995</v>
      </c>
      <c r="G558" s="4">
        <v>191</v>
      </c>
      <c r="H558" s="8">
        <v>2.37</v>
      </c>
      <c r="I558" s="4">
        <v>0</v>
      </c>
    </row>
    <row r="559" spans="1:9" x14ac:dyDescent="0.2">
      <c r="A559" s="2">
        <v>18</v>
      </c>
      <c r="B559" s="1" t="s">
        <v>185</v>
      </c>
      <c r="C559" s="4">
        <v>210</v>
      </c>
      <c r="D559" s="8">
        <v>1.57</v>
      </c>
      <c r="E559" s="4">
        <v>7</v>
      </c>
      <c r="F559" s="8">
        <v>0.13</v>
      </c>
      <c r="G559" s="4">
        <v>203</v>
      </c>
      <c r="H559" s="8">
        <v>2.52</v>
      </c>
      <c r="I559" s="4">
        <v>0</v>
      </c>
    </row>
    <row r="560" spans="1:9" x14ac:dyDescent="0.2">
      <c r="A560" s="2">
        <v>19</v>
      </c>
      <c r="B560" s="1" t="s">
        <v>162</v>
      </c>
      <c r="C560" s="4">
        <v>187</v>
      </c>
      <c r="D560" s="8">
        <v>1.4</v>
      </c>
      <c r="E560" s="4">
        <v>16</v>
      </c>
      <c r="F560" s="8">
        <v>0.3</v>
      </c>
      <c r="G560" s="4">
        <v>171</v>
      </c>
      <c r="H560" s="8">
        <v>2.12</v>
      </c>
      <c r="I560" s="4">
        <v>0</v>
      </c>
    </row>
    <row r="561" spans="1:9" x14ac:dyDescent="0.2">
      <c r="A561" s="2">
        <v>20</v>
      </c>
      <c r="B561" s="1" t="s">
        <v>170</v>
      </c>
      <c r="C561" s="4">
        <v>176</v>
      </c>
      <c r="D561" s="8">
        <v>1.32</v>
      </c>
      <c r="E561" s="4">
        <v>83</v>
      </c>
      <c r="F561" s="8">
        <v>1.57</v>
      </c>
      <c r="G561" s="4">
        <v>93</v>
      </c>
      <c r="H561" s="8">
        <v>1.1499999999999999</v>
      </c>
      <c r="I561" s="4">
        <v>0</v>
      </c>
    </row>
    <row r="562" spans="1:9" x14ac:dyDescent="0.2">
      <c r="A562" s="1"/>
      <c r="C562" s="4"/>
      <c r="D562" s="8"/>
      <c r="E562" s="4"/>
      <c r="F562" s="8"/>
      <c r="G562" s="4"/>
      <c r="H562" s="8"/>
      <c r="I562" s="4"/>
    </row>
    <row r="563" spans="1:9" x14ac:dyDescent="0.2">
      <c r="A563" s="1" t="s">
        <v>25</v>
      </c>
      <c r="C563" s="4"/>
      <c r="D563" s="8"/>
      <c r="E563" s="4"/>
      <c r="F563" s="8"/>
      <c r="G563" s="4"/>
      <c r="H563" s="8"/>
      <c r="I563" s="4"/>
    </row>
    <row r="564" spans="1:9" x14ac:dyDescent="0.2">
      <c r="A564" s="2">
        <v>1</v>
      </c>
      <c r="B564" s="1" t="s">
        <v>163</v>
      </c>
      <c r="C564" s="4">
        <v>777</v>
      </c>
      <c r="D564" s="8">
        <v>4.9000000000000004</v>
      </c>
      <c r="E564" s="4">
        <v>723</v>
      </c>
      <c r="F564" s="8">
        <v>13.43</v>
      </c>
      <c r="G564" s="4">
        <v>54</v>
      </c>
      <c r="H564" s="8">
        <v>0.52</v>
      </c>
      <c r="I564" s="4">
        <v>0</v>
      </c>
    </row>
    <row r="565" spans="1:9" x14ac:dyDescent="0.2">
      <c r="A565" s="2">
        <v>2</v>
      </c>
      <c r="B565" s="1" t="s">
        <v>164</v>
      </c>
      <c r="C565" s="4">
        <v>607</v>
      </c>
      <c r="D565" s="8">
        <v>3.83</v>
      </c>
      <c r="E565" s="4">
        <v>399</v>
      </c>
      <c r="F565" s="8">
        <v>7.41</v>
      </c>
      <c r="G565" s="4">
        <v>208</v>
      </c>
      <c r="H565" s="8">
        <v>1.99</v>
      </c>
      <c r="I565" s="4">
        <v>0</v>
      </c>
    </row>
    <row r="566" spans="1:9" x14ac:dyDescent="0.2">
      <c r="A566" s="2">
        <v>3</v>
      </c>
      <c r="B566" s="1" t="s">
        <v>160</v>
      </c>
      <c r="C566" s="4">
        <v>544</v>
      </c>
      <c r="D566" s="8">
        <v>3.43</v>
      </c>
      <c r="E566" s="4">
        <v>54</v>
      </c>
      <c r="F566" s="8">
        <v>1</v>
      </c>
      <c r="G566" s="4">
        <v>490</v>
      </c>
      <c r="H566" s="8">
        <v>4.6900000000000004</v>
      </c>
      <c r="I566" s="4">
        <v>0</v>
      </c>
    </row>
    <row r="567" spans="1:9" x14ac:dyDescent="0.2">
      <c r="A567" s="2">
        <v>4</v>
      </c>
      <c r="B567" s="1" t="s">
        <v>166</v>
      </c>
      <c r="C567" s="4">
        <v>504</v>
      </c>
      <c r="D567" s="8">
        <v>3.18</v>
      </c>
      <c r="E567" s="4">
        <v>473</v>
      </c>
      <c r="F567" s="8">
        <v>8.7899999999999991</v>
      </c>
      <c r="G567" s="4">
        <v>31</v>
      </c>
      <c r="H567" s="8">
        <v>0.3</v>
      </c>
      <c r="I567" s="4">
        <v>0</v>
      </c>
    </row>
    <row r="568" spans="1:9" x14ac:dyDescent="0.2">
      <c r="A568" s="2">
        <v>5</v>
      </c>
      <c r="B568" s="1" t="s">
        <v>159</v>
      </c>
      <c r="C568" s="4">
        <v>493</v>
      </c>
      <c r="D568" s="8">
        <v>3.11</v>
      </c>
      <c r="E568" s="4">
        <v>63</v>
      </c>
      <c r="F568" s="8">
        <v>1.17</v>
      </c>
      <c r="G568" s="4">
        <v>429</v>
      </c>
      <c r="H568" s="8">
        <v>4.1100000000000003</v>
      </c>
      <c r="I568" s="4">
        <v>1</v>
      </c>
    </row>
    <row r="569" spans="1:9" x14ac:dyDescent="0.2">
      <c r="A569" s="2">
        <v>6</v>
      </c>
      <c r="B569" s="1" t="s">
        <v>165</v>
      </c>
      <c r="C569" s="4">
        <v>440</v>
      </c>
      <c r="D569" s="8">
        <v>2.77</v>
      </c>
      <c r="E569" s="4">
        <v>363</v>
      </c>
      <c r="F569" s="8">
        <v>6.74</v>
      </c>
      <c r="G569" s="4">
        <v>77</v>
      </c>
      <c r="H569" s="8">
        <v>0.74</v>
      </c>
      <c r="I569" s="4">
        <v>0</v>
      </c>
    </row>
    <row r="570" spans="1:9" x14ac:dyDescent="0.2">
      <c r="A570" s="2">
        <v>7</v>
      </c>
      <c r="B570" s="1" t="s">
        <v>221</v>
      </c>
      <c r="C570" s="4">
        <v>414</v>
      </c>
      <c r="D570" s="8">
        <v>2.61</v>
      </c>
      <c r="E570" s="4">
        <v>57</v>
      </c>
      <c r="F570" s="8">
        <v>1.06</v>
      </c>
      <c r="G570" s="4">
        <v>357</v>
      </c>
      <c r="H570" s="8">
        <v>3.42</v>
      </c>
      <c r="I570" s="4">
        <v>0</v>
      </c>
    </row>
    <row r="571" spans="1:9" x14ac:dyDescent="0.2">
      <c r="A571" s="2">
        <v>8</v>
      </c>
      <c r="B571" s="1" t="s">
        <v>158</v>
      </c>
      <c r="C571" s="4">
        <v>407</v>
      </c>
      <c r="D571" s="8">
        <v>2.56</v>
      </c>
      <c r="E571" s="4">
        <v>29</v>
      </c>
      <c r="F571" s="8">
        <v>0.54</v>
      </c>
      <c r="G571" s="4">
        <v>378</v>
      </c>
      <c r="H571" s="8">
        <v>3.62</v>
      </c>
      <c r="I571" s="4">
        <v>0</v>
      </c>
    </row>
    <row r="572" spans="1:9" x14ac:dyDescent="0.2">
      <c r="A572" s="2">
        <v>9</v>
      </c>
      <c r="B572" s="1" t="s">
        <v>172</v>
      </c>
      <c r="C572" s="4">
        <v>380</v>
      </c>
      <c r="D572" s="8">
        <v>2.39</v>
      </c>
      <c r="E572" s="4">
        <v>131</v>
      </c>
      <c r="F572" s="8">
        <v>2.4300000000000002</v>
      </c>
      <c r="G572" s="4">
        <v>248</v>
      </c>
      <c r="H572" s="8">
        <v>2.37</v>
      </c>
      <c r="I572" s="4">
        <v>1</v>
      </c>
    </row>
    <row r="573" spans="1:9" x14ac:dyDescent="0.2">
      <c r="A573" s="2">
        <v>10</v>
      </c>
      <c r="B573" s="1" t="s">
        <v>189</v>
      </c>
      <c r="C573" s="4">
        <v>359</v>
      </c>
      <c r="D573" s="8">
        <v>2.2599999999999998</v>
      </c>
      <c r="E573" s="4">
        <v>30</v>
      </c>
      <c r="F573" s="8">
        <v>0.56000000000000005</v>
      </c>
      <c r="G573" s="4">
        <v>328</v>
      </c>
      <c r="H573" s="8">
        <v>3.14</v>
      </c>
      <c r="I573" s="4">
        <v>1</v>
      </c>
    </row>
    <row r="574" spans="1:9" x14ac:dyDescent="0.2">
      <c r="A574" s="2">
        <v>11</v>
      </c>
      <c r="B574" s="1" t="s">
        <v>188</v>
      </c>
      <c r="C574" s="4">
        <v>353</v>
      </c>
      <c r="D574" s="8">
        <v>2.2200000000000002</v>
      </c>
      <c r="E574" s="4">
        <v>13</v>
      </c>
      <c r="F574" s="8">
        <v>0.24</v>
      </c>
      <c r="G574" s="4">
        <v>337</v>
      </c>
      <c r="H574" s="8">
        <v>3.23</v>
      </c>
      <c r="I574" s="4">
        <v>3</v>
      </c>
    </row>
    <row r="575" spans="1:9" x14ac:dyDescent="0.2">
      <c r="A575" s="2">
        <v>12</v>
      </c>
      <c r="B575" s="1" t="s">
        <v>154</v>
      </c>
      <c r="C575" s="4">
        <v>334</v>
      </c>
      <c r="D575" s="8">
        <v>2.1</v>
      </c>
      <c r="E575" s="4">
        <v>27</v>
      </c>
      <c r="F575" s="8">
        <v>0.5</v>
      </c>
      <c r="G575" s="4">
        <v>307</v>
      </c>
      <c r="H575" s="8">
        <v>2.94</v>
      </c>
      <c r="I575" s="4">
        <v>0</v>
      </c>
    </row>
    <row r="576" spans="1:9" x14ac:dyDescent="0.2">
      <c r="A576" s="2">
        <v>13</v>
      </c>
      <c r="B576" s="1" t="s">
        <v>173</v>
      </c>
      <c r="C576" s="4">
        <v>291</v>
      </c>
      <c r="D576" s="8">
        <v>1.83</v>
      </c>
      <c r="E576" s="4">
        <v>24</v>
      </c>
      <c r="F576" s="8">
        <v>0.45</v>
      </c>
      <c r="G576" s="4">
        <v>257</v>
      </c>
      <c r="H576" s="8">
        <v>2.46</v>
      </c>
      <c r="I576" s="4">
        <v>10</v>
      </c>
    </row>
    <row r="577" spans="1:9" x14ac:dyDescent="0.2">
      <c r="A577" s="2">
        <v>14</v>
      </c>
      <c r="B577" s="1" t="s">
        <v>169</v>
      </c>
      <c r="C577" s="4">
        <v>287</v>
      </c>
      <c r="D577" s="8">
        <v>1.81</v>
      </c>
      <c r="E577" s="4">
        <v>222</v>
      </c>
      <c r="F577" s="8">
        <v>4.12</v>
      </c>
      <c r="G577" s="4">
        <v>65</v>
      </c>
      <c r="H577" s="8">
        <v>0.62</v>
      </c>
      <c r="I577" s="4">
        <v>0</v>
      </c>
    </row>
    <row r="578" spans="1:9" x14ac:dyDescent="0.2">
      <c r="A578" s="2">
        <v>15</v>
      </c>
      <c r="B578" s="1" t="s">
        <v>157</v>
      </c>
      <c r="C578" s="4">
        <v>283</v>
      </c>
      <c r="D578" s="8">
        <v>1.78</v>
      </c>
      <c r="E578" s="4">
        <v>127</v>
      </c>
      <c r="F578" s="8">
        <v>2.36</v>
      </c>
      <c r="G578" s="4">
        <v>156</v>
      </c>
      <c r="H578" s="8">
        <v>1.49</v>
      </c>
      <c r="I578" s="4">
        <v>0</v>
      </c>
    </row>
    <row r="579" spans="1:9" x14ac:dyDescent="0.2">
      <c r="A579" s="2">
        <v>16</v>
      </c>
      <c r="B579" s="1" t="s">
        <v>155</v>
      </c>
      <c r="C579" s="4">
        <v>276</v>
      </c>
      <c r="D579" s="8">
        <v>1.74</v>
      </c>
      <c r="E579" s="4">
        <v>75</v>
      </c>
      <c r="F579" s="8">
        <v>1.39</v>
      </c>
      <c r="G579" s="4">
        <v>201</v>
      </c>
      <c r="H579" s="8">
        <v>1.92</v>
      </c>
      <c r="I579" s="4">
        <v>0</v>
      </c>
    </row>
    <row r="580" spans="1:9" x14ac:dyDescent="0.2">
      <c r="A580" s="2">
        <v>17</v>
      </c>
      <c r="B580" s="1" t="s">
        <v>220</v>
      </c>
      <c r="C580" s="4">
        <v>275</v>
      </c>
      <c r="D580" s="8">
        <v>1.73</v>
      </c>
      <c r="E580" s="4">
        <v>53</v>
      </c>
      <c r="F580" s="8">
        <v>0.98</v>
      </c>
      <c r="G580" s="4">
        <v>222</v>
      </c>
      <c r="H580" s="8">
        <v>2.13</v>
      </c>
      <c r="I580" s="4">
        <v>0</v>
      </c>
    </row>
    <row r="581" spans="1:9" x14ac:dyDescent="0.2">
      <c r="A581" s="2">
        <v>18</v>
      </c>
      <c r="B581" s="1" t="s">
        <v>185</v>
      </c>
      <c r="C581" s="4">
        <v>239</v>
      </c>
      <c r="D581" s="8">
        <v>1.51</v>
      </c>
      <c r="E581" s="4">
        <v>9</v>
      </c>
      <c r="F581" s="8">
        <v>0.17</v>
      </c>
      <c r="G581" s="4">
        <v>229</v>
      </c>
      <c r="H581" s="8">
        <v>2.19</v>
      </c>
      <c r="I581" s="4">
        <v>1</v>
      </c>
    </row>
    <row r="582" spans="1:9" x14ac:dyDescent="0.2">
      <c r="A582" s="2">
        <v>19</v>
      </c>
      <c r="B582" s="1" t="s">
        <v>219</v>
      </c>
      <c r="C582" s="4">
        <v>238</v>
      </c>
      <c r="D582" s="8">
        <v>1.5</v>
      </c>
      <c r="E582" s="4">
        <v>224</v>
      </c>
      <c r="F582" s="8">
        <v>4.16</v>
      </c>
      <c r="G582" s="4">
        <v>14</v>
      </c>
      <c r="H582" s="8">
        <v>0.13</v>
      </c>
      <c r="I582" s="4">
        <v>0</v>
      </c>
    </row>
    <row r="583" spans="1:9" x14ac:dyDescent="0.2">
      <c r="A583" s="2">
        <v>20</v>
      </c>
      <c r="B583" s="1" t="s">
        <v>167</v>
      </c>
      <c r="C583" s="4">
        <v>231</v>
      </c>
      <c r="D583" s="8">
        <v>1.46</v>
      </c>
      <c r="E583" s="4">
        <v>184</v>
      </c>
      <c r="F583" s="8">
        <v>3.42</v>
      </c>
      <c r="G583" s="4">
        <v>47</v>
      </c>
      <c r="H583" s="8">
        <v>0.45</v>
      </c>
      <c r="I583" s="4">
        <v>0</v>
      </c>
    </row>
    <row r="584" spans="1:9" x14ac:dyDescent="0.2">
      <c r="A584" s="1"/>
      <c r="C584" s="4"/>
      <c r="D584" s="8"/>
      <c r="E584" s="4"/>
      <c r="F584" s="8"/>
      <c r="G584" s="4"/>
      <c r="H584" s="8"/>
      <c r="I584" s="4"/>
    </row>
    <row r="585" spans="1:9" x14ac:dyDescent="0.2">
      <c r="A585" s="1" t="s">
        <v>26</v>
      </c>
      <c r="C585" s="4"/>
      <c r="D585" s="8"/>
      <c r="E585" s="4"/>
      <c r="F585" s="8"/>
      <c r="G585" s="4"/>
      <c r="H585" s="8"/>
      <c r="I585" s="4"/>
    </row>
    <row r="586" spans="1:9" x14ac:dyDescent="0.2">
      <c r="A586" s="2">
        <v>1</v>
      </c>
      <c r="B586" s="1" t="s">
        <v>169</v>
      </c>
      <c r="C586" s="4">
        <v>692</v>
      </c>
      <c r="D586" s="8">
        <v>4.62</v>
      </c>
      <c r="E586" s="4">
        <v>638</v>
      </c>
      <c r="F586" s="8">
        <v>8.68</v>
      </c>
      <c r="G586" s="4">
        <v>54</v>
      </c>
      <c r="H586" s="8">
        <v>0.71</v>
      </c>
      <c r="I586" s="4">
        <v>0</v>
      </c>
    </row>
    <row r="587" spans="1:9" x14ac:dyDescent="0.2">
      <c r="A587" s="2">
        <v>2</v>
      </c>
      <c r="B587" s="1" t="s">
        <v>160</v>
      </c>
      <c r="C587" s="4">
        <v>547</v>
      </c>
      <c r="D587" s="8">
        <v>3.65</v>
      </c>
      <c r="E587" s="4">
        <v>127</v>
      </c>
      <c r="F587" s="8">
        <v>1.73</v>
      </c>
      <c r="G587" s="4">
        <v>420</v>
      </c>
      <c r="H587" s="8">
        <v>5.52</v>
      </c>
      <c r="I587" s="4">
        <v>0</v>
      </c>
    </row>
    <row r="588" spans="1:9" x14ac:dyDescent="0.2">
      <c r="A588" s="2">
        <v>3</v>
      </c>
      <c r="B588" s="1" t="s">
        <v>171</v>
      </c>
      <c r="C588" s="4">
        <v>508</v>
      </c>
      <c r="D588" s="8">
        <v>3.39</v>
      </c>
      <c r="E588" s="4">
        <v>443</v>
      </c>
      <c r="F588" s="8">
        <v>6.03</v>
      </c>
      <c r="G588" s="4">
        <v>65</v>
      </c>
      <c r="H588" s="8">
        <v>0.85</v>
      </c>
      <c r="I588" s="4">
        <v>0</v>
      </c>
    </row>
    <row r="589" spans="1:9" x14ac:dyDescent="0.2">
      <c r="A589" s="2">
        <v>4</v>
      </c>
      <c r="B589" s="1" t="s">
        <v>168</v>
      </c>
      <c r="C589" s="4">
        <v>413</v>
      </c>
      <c r="D589" s="8">
        <v>2.76</v>
      </c>
      <c r="E589" s="4">
        <v>400</v>
      </c>
      <c r="F589" s="8">
        <v>5.44</v>
      </c>
      <c r="G589" s="4">
        <v>13</v>
      </c>
      <c r="H589" s="8">
        <v>0.17</v>
      </c>
      <c r="I589" s="4">
        <v>0</v>
      </c>
    </row>
    <row r="590" spans="1:9" x14ac:dyDescent="0.2">
      <c r="A590" s="2">
        <v>5</v>
      </c>
      <c r="B590" s="1" t="s">
        <v>165</v>
      </c>
      <c r="C590" s="4">
        <v>389</v>
      </c>
      <c r="D590" s="8">
        <v>2.6</v>
      </c>
      <c r="E590" s="4">
        <v>361</v>
      </c>
      <c r="F590" s="8">
        <v>4.91</v>
      </c>
      <c r="G590" s="4">
        <v>28</v>
      </c>
      <c r="H590" s="8">
        <v>0.37</v>
      </c>
      <c r="I590" s="4">
        <v>0</v>
      </c>
    </row>
    <row r="591" spans="1:9" x14ac:dyDescent="0.2">
      <c r="A591" s="2">
        <v>6</v>
      </c>
      <c r="B591" s="1" t="s">
        <v>167</v>
      </c>
      <c r="C591" s="4">
        <v>382</v>
      </c>
      <c r="D591" s="8">
        <v>2.5499999999999998</v>
      </c>
      <c r="E591" s="4">
        <v>358</v>
      </c>
      <c r="F591" s="8">
        <v>4.87</v>
      </c>
      <c r="G591" s="4">
        <v>23</v>
      </c>
      <c r="H591" s="8">
        <v>0.3</v>
      </c>
      <c r="I591" s="4">
        <v>1</v>
      </c>
    </row>
    <row r="592" spans="1:9" x14ac:dyDescent="0.2">
      <c r="A592" s="2">
        <v>7</v>
      </c>
      <c r="B592" s="1" t="s">
        <v>159</v>
      </c>
      <c r="C592" s="4">
        <v>366</v>
      </c>
      <c r="D592" s="8">
        <v>2.44</v>
      </c>
      <c r="E592" s="4">
        <v>57</v>
      </c>
      <c r="F592" s="8">
        <v>0.78</v>
      </c>
      <c r="G592" s="4">
        <v>308</v>
      </c>
      <c r="H592" s="8">
        <v>4.05</v>
      </c>
      <c r="I592" s="4">
        <v>0</v>
      </c>
    </row>
    <row r="593" spans="1:9" x14ac:dyDescent="0.2">
      <c r="A593" s="2">
        <v>8</v>
      </c>
      <c r="B593" s="1" t="s">
        <v>170</v>
      </c>
      <c r="C593" s="4">
        <v>314</v>
      </c>
      <c r="D593" s="8">
        <v>2.1</v>
      </c>
      <c r="E593" s="4">
        <v>251</v>
      </c>
      <c r="F593" s="8">
        <v>3.42</v>
      </c>
      <c r="G593" s="4">
        <v>63</v>
      </c>
      <c r="H593" s="8">
        <v>0.83</v>
      </c>
      <c r="I593" s="4">
        <v>0</v>
      </c>
    </row>
    <row r="594" spans="1:9" x14ac:dyDescent="0.2">
      <c r="A594" s="2">
        <v>9</v>
      </c>
      <c r="B594" s="1" t="s">
        <v>157</v>
      </c>
      <c r="C594" s="4">
        <v>295</v>
      </c>
      <c r="D594" s="8">
        <v>1.97</v>
      </c>
      <c r="E594" s="4">
        <v>212</v>
      </c>
      <c r="F594" s="8">
        <v>2.89</v>
      </c>
      <c r="G594" s="4">
        <v>82</v>
      </c>
      <c r="H594" s="8">
        <v>1.08</v>
      </c>
      <c r="I594" s="4">
        <v>1</v>
      </c>
    </row>
    <row r="595" spans="1:9" x14ac:dyDescent="0.2">
      <c r="A595" s="2">
        <v>10</v>
      </c>
      <c r="B595" s="1" t="s">
        <v>164</v>
      </c>
      <c r="C595" s="4">
        <v>284</v>
      </c>
      <c r="D595" s="8">
        <v>1.9</v>
      </c>
      <c r="E595" s="4">
        <v>249</v>
      </c>
      <c r="F595" s="8">
        <v>3.39</v>
      </c>
      <c r="G595" s="4">
        <v>35</v>
      </c>
      <c r="H595" s="8">
        <v>0.46</v>
      </c>
      <c r="I595" s="4">
        <v>0</v>
      </c>
    </row>
    <row r="596" spans="1:9" x14ac:dyDescent="0.2">
      <c r="A596" s="2">
        <v>11</v>
      </c>
      <c r="B596" s="1" t="s">
        <v>161</v>
      </c>
      <c r="C596" s="4">
        <v>259</v>
      </c>
      <c r="D596" s="8">
        <v>1.73</v>
      </c>
      <c r="E596" s="4">
        <v>168</v>
      </c>
      <c r="F596" s="8">
        <v>2.29</v>
      </c>
      <c r="G596" s="4">
        <v>91</v>
      </c>
      <c r="H596" s="8">
        <v>1.2</v>
      </c>
      <c r="I596" s="4">
        <v>0</v>
      </c>
    </row>
    <row r="597" spans="1:9" x14ac:dyDescent="0.2">
      <c r="A597" s="2">
        <v>12</v>
      </c>
      <c r="B597" s="1" t="s">
        <v>215</v>
      </c>
      <c r="C597" s="4">
        <v>254</v>
      </c>
      <c r="D597" s="8">
        <v>1.69</v>
      </c>
      <c r="E597" s="4">
        <v>143</v>
      </c>
      <c r="F597" s="8">
        <v>1.95</v>
      </c>
      <c r="G597" s="4">
        <v>111</v>
      </c>
      <c r="H597" s="8">
        <v>1.46</v>
      </c>
      <c r="I597" s="4">
        <v>0</v>
      </c>
    </row>
    <row r="598" spans="1:9" x14ac:dyDescent="0.2">
      <c r="A598" s="2">
        <v>13</v>
      </c>
      <c r="B598" s="1" t="s">
        <v>152</v>
      </c>
      <c r="C598" s="4">
        <v>252</v>
      </c>
      <c r="D598" s="8">
        <v>1.68</v>
      </c>
      <c r="E598" s="4">
        <v>36</v>
      </c>
      <c r="F598" s="8">
        <v>0.49</v>
      </c>
      <c r="G598" s="4">
        <v>216</v>
      </c>
      <c r="H598" s="8">
        <v>2.84</v>
      </c>
      <c r="I598" s="4">
        <v>0</v>
      </c>
    </row>
    <row r="599" spans="1:9" x14ac:dyDescent="0.2">
      <c r="A599" s="2">
        <v>14</v>
      </c>
      <c r="B599" s="1" t="s">
        <v>153</v>
      </c>
      <c r="C599" s="4">
        <v>250</v>
      </c>
      <c r="D599" s="8">
        <v>1.67</v>
      </c>
      <c r="E599" s="4">
        <v>60</v>
      </c>
      <c r="F599" s="8">
        <v>0.82</v>
      </c>
      <c r="G599" s="4">
        <v>190</v>
      </c>
      <c r="H599" s="8">
        <v>2.5</v>
      </c>
      <c r="I599" s="4">
        <v>0</v>
      </c>
    </row>
    <row r="600" spans="1:9" x14ac:dyDescent="0.2">
      <c r="A600" s="2">
        <v>15</v>
      </c>
      <c r="B600" s="1" t="s">
        <v>174</v>
      </c>
      <c r="C600" s="4">
        <v>223</v>
      </c>
      <c r="D600" s="8">
        <v>1.49</v>
      </c>
      <c r="E600" s="4">
        <v>39</v>
      </c>
      <c r="F600" s="8">
        <v>0.53</v>
      </c>
      <c r="G600" s="4">
        <v>184</v>
      </c>
      <c r="H600" s="8">
        <v>2.42</v>
      </c>
      <c r="I600" s="4">
        <v>0</v>
      </c>
    </row>
    <row r="601" spans="1:9" x14ac:dyDescent="0.2">
      <c r="A601" s="2">
        <v>16</v>
      </c>
      <c r="B601" s="1" t="s">
        <v>158</v>
      </c>
      <c r="C601" s="4">
        <v>218</v>
      </c>
      <c r="D601" s="8">
        <v>1.45</v>
      </c>
      <c r="E601" s="4">
        <v>54</v>
      </c>
      <c r="F601" s="8">
        <v>0.73</v>
      </c>
      <c r="G601" s="4">
        <v>164</v>
      </c>
      <c r="H601" s="8">
        <v>2.15</v>
      </c>
      <c r="I601" s="4">
        <v>0</v>
      </c>
    </row>
    <row r="602" spans="1:9" x14ac:dyDescent="0.2">
      <c r="A602" s="2">
        <v>17</v>
      </c>
      <c r="B602" s="1" t="s">
        <v>162</v>
      </c>
      <c r="C602" s="4">
        <v>217</v>
      </c>
      <c r="D602" s="8">
        <v>1.45</v>
      </c>
      <c r="E602" s="4">
        <v>7</v>
      </c>
      <c r="F602" s="8">
        <v>0.1</v>
      </c>
      <c r="G602" s="4">
        <v>209</v>
      </c>
      <c r="H602" s="8">
        <v>2.75</v>
      </c>
      <c r="I602" s="4">
        <v>1</v>
      </c>
    </row>
    <row r="603" spans="1:9" x14ac:dyDescent="0.2">
      <c r="A603" s="2">
        <v>18</v>
      </c>
      <c r="B603" s="1" t="s">
        <v>166</v>
      </c>
      <c r="C603" s="4">
        <v>213</v>
      </c>
      <c r="D603" s="8">
        <v>1.42</v>
      </c>
      <c r="E603" s="4">
        <v>204</v>
      </c>
      <c r="F603" s="8">
        <v>2.78</v>
      </c>
      <c r="G603" s="4">
        <v>9</v>
      </c>
      <c r="H603" s="8">
        <v>0.12</v>
      </c>
      <c r="I603" s="4">
        <v>0</v>
      </c>
    </row>
    <row r="604" spans="1:9" x14ac:dyDescent="0.2">
      <c r="A604" s="2">
        <v>19</v>
      </c>
      <c r="B604" s="1" t="s">
        <v>190</v>
      </c>
      <c r="C604" s="4">
        <v>211</v>
      </c>
      <c r="D604" s="8">
        <v>1.41</v>
      </c>
      <c r="E604" s="4">
        <v>31</v>
      </c>
      <c r="F604" s="8">
        <v>0.42</v>
      </c>
      <c r="G604" s="4">
        <v>180</v>
      </c>
      <c r="H604" s="8">
        <v>2.36</v>
      </c>
      <c r="I604" s="4">
        <v>0</v>
      </c>
    </row>
    <row r="605" spans="1:9" x14ac:dyDescent="0.2">
      <c r="A605" s="2">
        <v>20</v>
      </c>
      <c r="B605" s="1" t="s">
        <v>198</v>
      </c>
      <c r="C605" s="4">
        <v>191</v>
      </c>
      <c r="D605" s="8">
        <v>1.27</v>
      </c>
      <c r="E605" s="4">
        <v>135</v>
      </c>
      <c r="F605" s="8">
        <v>1.84</v>
      </c>
      <c r="G605" s="4">
        <v>55</v>
      </c>
      <c r="H605" s="8">
        <v>0.72</v>
      </c>
      <c r="I605" s="4">
        <v>0</v>
      </c>
    </row>
    <row r="606" spans="1:9" x14ac:dyDescent="0.2">
      <c r="A606" s="1"/>
      <c r="C606" s="4"/>
      <c r="D606" s="8"/>
      <c r="E606" s="4"/>
      <c r="F606" s="8"/>
      <c r="G606" s="4"/>
      <c r="H606" s="8"/>
      <c r="I606" s="4"/>
    </row>
    <row r="607" spans="1:9" x14ac:dyDescent="0.2">
      <c r="A607" s="1" t="s">
        <v>27</v>
      </c>
      <c r="C607" s="4"/>
      <c r="D607" s="8"/>
      <c r="E607" s="4"/>
      <c r="F607" s="8"/>
      <c r="G607" s="4"/>
      <c r="H607" s="8"/>
      <c r="I607" s="4"/>
    </row>
    <row r="608" spans="1:9" x14ac:dyDescent="0.2">
      <c r="A608" s="2">
        <v>1</v>
      </c>
      <c r="B608" s="1" t="s">
        <v>169</v>
      </c>
      <c r="C608" s="4">
        <v>145</v>
      </c>
      <c r="D608" s="8">
        <v>3.61</v>
      </c>
      <c r="E608" s="4">
        <v>129</v>
      </c>
      <c r="F608" s="8">
        <v>6.36</v>
      </c>
      <c r="G608" s="4">
        <v>16</v>
      </c>
      <c r="H608" s="8">
        <v>0.81</v>
      </c>
      <c r="I608" s="4">
        <v>0</v>
      </c>
    </row>
    <row r="609" spans="1:9" x14ac:dyDescent="0.2">
      <c r="A609" s="2">
        <v>2</v>
      </c>
      <c r="B609" s="1" t="s">
        <v>171</v>
      </c>
      <c r="C609" s="4">
        <v>131</v>
      </c>
      <c r="D609" s="8">
        <v>3.26</v>
      </c>
      <c r="E609" s="4">
        <v>115</v>
      </c>
      <c r="F609" s="8">
        <v>5.67</v>
      </c>
      <c r="G609" s="4">
        <v>16</v>
      </c>
      <c r="H609" s="8">
        <v>0.81</v>
      </c>
      <c r="I609" s="4">
        <v>0</v>
      </c>
    </row>
    <row r="610" spans="1:9" x14ac:dyDescent="0.2">
      <c r="A610" s="2">
        <v>3</v>
      </c>
      <c r="B610" s="1" t="s">
        <v>164</v>
      </c>
      <c r="C610" s="4">
        <v>125</v>
      </c>
      <c r="D610" s="8">
        <v>3.11</v>
      </c>
      <c r="E610" s="4">
        <v>109</v>
      </c>
      <c r="F610" s="8">
        <v>5.38</v>
      </c>
      <c r="G610" s="4">
        <v>16</v>
      </c>
      <c r="H610" s="8">
        <v>0.81</v>
      </c>
      <c r="I610" s="4">
        <v>0</v>
      </c>
    </row>
    <row r="611" spans="1:9" x14ac:dyDescent="0.2">
      <c r="A611" s="2">
        <v>4</v>
      </c>
      <c r="B611" s="1" t="s">
        <v>160</v>
      </c>
      <c r="C611" s="4">
        <v>122</v>
      </c>
      <c r="D611" s="8">
        <v>3.04</v>
      </c>
      <c r="E611" s="4">
        <v>26</v>
      </c>
      <c r="F611" s="8">
        <v>1.28</v>
      </c>
      <c r="G611" s="4">
        <v>96</v>
      </c>
      <c r="H611" s="8">
        <v>4.87</v>
      </c>
      <c r="I611" s="4">
        <v>0</v>
      </c>
    </row>
    <row r="612" spans="1:9" x14ac:dyDescent="0.2">
      <c r="A612" s="2">
        <v>5</v>
      </c>
      <c r="B612" s="1" t="s">
        <v>165</v>
      </c>
      <c r="C612" s="4">
        <v>119</v>
      </c>
      <c r="D612" s="8">
        <v>2.96</v>
      </c>
      <c r="E612" s="4">
        <v>108</v>
      </c>
      <c r="F612" s="8">
        <v>5.33</v>
      </c>
      <c r="G612" s="4">
        <v>11</v>
      </c>
      <c r="H612" s="8">
        <v>0.56000000000000005</v>
      </c>
      <c r="I612" s="4">
        <v>0</v>
      </c>
    </row>
    <row r="613" spans="1:9" x14ac:dyDescent="0.2">
      <c r="A613" s="2">
        <v>6</v>
      </c>
      <c r="B613" s="1" t="s">
        <v>167</v>
      </c>
      <c r="C613" s="4">
        <v>116</v>
      </c>
      <c r="D613" s="8">
        <v>2.89</v>
      </c>
      <c r="E613" s="4">
        <v>110</v>
      </c>
      <c r="F613" s="8">
        <v>5.43</v>
      </c>
      <c r="G613" s="4">
        <v>5</v>
      </c>
      <c r="H613" s="8">
        <v>0.25</v>
      </c>
      <c r="I613" s="4">
        <v>1</v>
      </c>
    </row>
    <row r="614" spans="1:9" x14ac:dyDescent="0.2">
      <c r="A614" s="2">
        <v>7</v>
      </c>
      <c r="B614" s="1" t="s">
        <v>157</v>
      </c>
      <c r="C614" s="4">
        <v>112</v>
      </c>
      <c r="D614" s="8">
        <v>2.79</v>
      </c>
      <c r="E614" s="4">
        <v>80</v>
      </c>
      <c r="F614" s="8">
        <v>3.95</v>
      </c>
      <c r="G614" s="4">
        <v>31</v>
      </c>
      <c r="H614" s="8">
        <v>1.57</v>
      </c>
      <c r="I614" s="4">
        <v>1</v>
      </c>
    </row>
    <row r="615" spans="1:9" x14ac:dyDescent="0.2">
      <c r="A615" s="2">
        <v>8</v>
      </c>
      <c r="B615" s="1" t="s">
        <v>168</v>
      </c>
      <c r="C615" s="4">
        <v>111</v>
      </c>
      <c r="D615" s="8">
        <v>2.76</v>
      </c>
      <c r="E615" s="4">
        <v>105</v>
      </c>
      <c r="F615" s="8">
        <v>5.18</v>
      </c>
      <c r="G615" s="4">
        <v>6</v>
      </c>
      <c r="H615" s="8">
        <v>0.3</v>
      </c>
      <c r="I615" s="4">
        <v>0</v>
      </c>
    </row>
    <row r="616" spans="1:9" x14ac:dyDescent="0.2">
      <c r="A616" s="2">
        <v>9</v>
      </c>
      <c r="B616" s="1" t="s">
        <v>166</v>
      </c>
      <c r="C616" s="4">
        <v>108</v>
      </c>
      <c r="D616" s="8">
        <v>2.69</v>
      </c>
      <c r="E616" s="4">
        <v>101</v>
      </c>
      <c r="F616" s="8">
        <v>4.9800000000000004</v>
      </c>
      <c r="G616" s="4">
        <v>7</v>
      </c>
      <c r="H616" s="8">
        <v>0.35</v>
      </c>
      <c r="I616" s="4">
        <v>0</v>
      </c>
    </row>
    <row r="617" spans="1:9" x14ac:dyDescent="0.2">
      <c r="A617" s="2">
        <v>10</v>
      </c>
      <c r="B617" s="1" t="s">
        <v>170</v>
      </c>
      <c r="C617" s="4">
        <v>94</v>
      </c>
      <c r="D617" s="8">
        <v>2.34</v>
      </c>
      <c r="E617" s="4">
        <v>70</v>
      </c>
      <c r="F617" s="8">
        <v>3.45</v>
      </c>
      <c r="G617" s="4">
        <v>24</v>
      </c>
      <c r="H617" s="8">
        <v>1.22</v>
      </c>
      <c r="I617" s="4">
        <v>0</v>
      </c>
    </row>
    <row r="618" spans="1:9" x14ac:dyDescent="0.2">
      <c r="A618" s="2">
        <v>11</v>
      </c>
      <c r="B618" s="1" t="s">
        <v>158</v>
      </c>
      <c r="C618" s="4">
        <v>72</v>
      </c>
      <c r="D618" s="8">
        <v>1.79</v>
      </c>
      <c r="E618" s="4">
        <v>18</v>
      </c>
      <c r="F618" s="8">
        <v>0.89</v>
      </c>
      <c r="G618" s="4">
        <v>54</v>
      </c>
      <c r="H618" s="8">
        <v>2.74</v>
      </c>
      <c r="I618" s="4">
        <v>0</v>
      </c>
    </row>
    <row r="619" spans="1:9" x14ac:dyDescent="0.2">
      <c r="A619" s="2">
        <v>12</v>
      </c>
      <c r="B619" s="1" t="s">
        <v>159</v>
      </c>
      <c r="C619" s="4">
        <v>71</v>
      </c>
      <c r="D619" s="8">
        <v>1.77</v>
      </c>
      <c r="E619" s="4">
        <v>5</v>
      </c>
      <c r="F619" s="8">
        <v>0.25</v>
      </c>
      <c r="G619" s="4">
        <v>65</v>
      </c>
      <c r="H619" s="8">
        <v>3.29</v>
      </c>
      <c r="I619" s="4">
        <v>0</v>
      </c>
    </row>
    <row r="620" spans="1:9" x14ac:dyDescent="0.2">
      <c r="A620" s="2">
        <v>13</v>
      </c>
      <c r="B620" s="1" t="s">
        <v>156</v>
      </c>
      <c r="C620" s="4">
        <v>59</v>
      </c>
      <c r="D620" s="8">
        <v>1.47</v>
      </c>
      <c r="E620" s="4">
        <v>37</v>
      </c>
      <c r="F620" s="8">
        <v>1.83</v>
      </c>
      <c r="G620" s="4">
        <v>22</v>
      </c>
      <c r="H620" s="8">
        <v>1.1200000000000001</v>
      </c>
      <c r="I620" s="4">
        <v>0</v>
      </c>
    </row>
    <row r="621" spans="1:9" x14ac:dyDescent="0.2">
      <c r="A621" s="2">
        <v>14</v>
      </c>
      <c r="B621" s="1" t="s">
        <v>153</v>
      </c>
      <c r="C621" s="4">
        <v>53</v>
      </c>
      <c r="D621" s="8">
        <v>1.32</v>
      </c>
      <c r="E621" s="4">
        <v>11</v>
      </c>
      <c r="F621" s="8">
        <v>0.54</v>
      </c>
      <c r="G621" s="4">
        <v>42</v>
      </c>
      <c r="H621" s="8">
        <v>2.13</v>
      </c>
      <c r="I621" s="4">
        <v>0</v>
      </c>
    </row>
    <row r="622" spans="1:9" x14ac:dyDescent="0.2">
      <c r="A622" s="2">
        <v>15</v>
      </c>
      <c r="B622" s="1" t="s">
        <v>222</v>
      </c>
      <c r="C622" s="4">
        <v>50</v>
      </c>
      <c r="D622" s="8">
        <v>1.25</v>
      </c>
      <c r="E622" s="4">
        <v>46</v>
      </c>
      <c r="F622" s="8">
        <v>2.27</v>
      </c>
      <c r="G622" s="4">
        <v>4</v>
      </c>
      <c r="H622" s="8">
        <v>0.2</v>
      </c>
      <c r="I622" s="4">
        <v>0</v>
      </c>
    </row>
    <row r="623" spans="1:9" x14ac:dyDescent="0.2">
      <c r="A623" s="2">
        <v>16</v>
      </c>
      <c r="B623" s="1" t="s">
        <v>161</v>
      </c>
      <c r="C623" s="4">
        <v>49</v>
      </c>
      <c r="D623" s="8">
        <v>1.22</v>
      </c>
      <c r="E623" s="4">
        <v>21</v>
      </c>
      <c r="F623" s="8">
        <v>1.04</v>
      </c>
      <c r="G623" s="4">
        <v>28</v>
      </c>
      <c r="H623" s="8">
        <v>1.42</v>
      </c>
      <c r="I623" s="4">
        <v>0</v>
      </c>
    </row>
    <row r="624" spans="1:9" x14ac:dyDescent="0.2">
      <c r="A624" s="2">
        <v>17</v>
      </c>
      <c r="B624" s="1" t="s">
        <v>183</v>
      </c>
      <c r="C624" s="4">
        <v>48</v>
      </c>
      <c r="D624" s="8">
        <v>1.2</v>
      </c>
      <c r="E624" s="4">
        <v>43</v>
      </c>
      <c r="F624" s="8">
        <v>2.12</v>
      </c>
      <c r="G624" s="4">
        <v>5</v>
      </c>
      <c r="H624" s="8">
        <v>0.25</v>
      </c>
      <c r="I624" s="4">
        <v>0</v>
      </c>
    </row>
    <row r="625" spans="1:9" x14ac:dyDescent="0.2">
      <c r="A625" s="2">
        <v>18</v>
      </c>
      <c r="B625" s="1" t="s">
        <v>152</v>
      </c>
      <c r="C625" s="4">
        <v>47</v>
      </c>
      <c r="D625" s="8">
        <v>1.17</v>
      </c>
      <c r="E625" s="4">
        <v>5</v>
      </c>
      <c r="F625" s="8">
        <v>0.25</v>
      </c>
      <c r="G625" s="4">
        <v>42</v>
      </c>
      <c r="H625" s="8">
        <v>2.13</v>
      </c>
      <c r="I625" s="4">
        <v>0</v>
      </c>
    </row>
    <row r="626" spans="1:9" x14ac:dyDescent="0.2">
      <c r="A626" s="2">
        <v>18</v>
      </c>
      <c r="B626" s="1" t="s">
        <v>174</v>
      </c>
      <c r="C626" s="4">
        <v>47</v>
      </c>
      <c r="D626" s="8">
        <v>1.17</v>
      </c>
      <c r="E626" s="4">
        <v>6</v>
      </c>
      <c r="F626" s="8">
        <v>0.3</v>
      </c>
      <c r="G626" s="4">
        <v>41</v>
      </c>
      <c r="H626" s="8">
        <v>2.08</v>
      </c>
      <c r="I626" s="4">
        <v>0</v>
      </c>
    </row>
    <row r="627" spans="1:9" x14ac:dyDescent="0.2">
      <c r="A627" s="2">
        <v>18</v>
      </c>
      <c r="B627" s="1" t="s">
        <v>155</v>
      </c>
      <c r="C627" s="4">
        <v>47</v>
      </c>
      <c r="D627" s="8">
        <v>1.17</v>
      </c>
      <c r="E627" s="4">
        <v>23</v>
      </c>
      <c r="F627" s="8">
        <v>1.1299999999999999</v>
      </c>
      <c r="G627" s="4">
        <v>24</v>
      </c>
      <c r="H627" s="8">
        <v>1.22</v>
      </c>
      <c r="I627" s="4">
        <v>0</v>
      </c>
    </row>
    <row r="628" spans="1:9" x14ac:dyDescent="0.2">
      <c r="A628" s="1"/>
      <c r="C628" s="4"/>
      <c r="D628" s="8"/>
      <c r="E628" s="4"/>
      <c r="F628" s="8"/>
      <c r="G628" s="4"/>
      <c r="H628" s="8"/>
      <c r="I628" s="4"/>
    </row>
    <row r="629" spans="1:9" x14ac:dyDescent="0.2">
      <c r="A629" s="1" t="s">
        <v>28</v>
      </c>
      <c r="C629" s="4"/>
      <c r="D629" s="8"/>
      <c r="E629" s="4"/>
      <c r="F629" s="8"/>
      <c r="G629" s="4"/>
      <c r="H629" s="8"/>
      <c r="I629" s="4"/>
    </row>
    <row r="630" spans="1:9" x14ac:dyDescent="0.2">
      <c r="A630" s="2">
        <v>1</v>
      </c>
      <c r="B630" s="1" t="s">
        <v>169</v>
      </c>
      <c r="C630" s="4">
        <v>106</v>
      </c>
      <c r="D630" s="8">
        <v>4.76</v>
      </c>
      <c r="E630" s="4">
        <v>104</v>
      </c>
      <c r="F630" s="8">
        <v>9.15</v>
      </c>
      <c r="G630" s="4">
        <v>2</v>
      </c>
      <c r="H630" s="8">
        <v>0.18</v>
      </c>
      <c r="I630" s="4">
        <v>0</v>
      </c>
    </row>
    <row r="631" spans="1:9" x14ac:dyDescent="0.2">
      <c r="A631" s="2">
        <v>2</v>
      </c>
      <c r="B631" s="1" t="s">
        <v>171</v>
      </c>
      <c r="C631" s="4">
        <v>75</v>
      </c>
      <c r="D631" s="8">
        <v>3.37</v>
      </c>
      <c r="E631" s="4">
        <v>65</v>
      </c>
      <c r="F631" s="8">
        <v>5.72</v>
      </c>
      <c r="G631" s="4">
        <v>10</v>
      </c>
      <c r="H631" s="8">
        <v>0.92</v>
      </c>
      <c r="I631" s="4">
        <v>0</v>
      </c>
    </row>
    <row r="632" spans="1:9" x14ac:dyDescent="0.2">
      <c r="A632" s="2">
        <v>3</v>
      </c>
      <c r="B632" s="1" t="s">
        <v>160</v>
      </c>
      <c r="C632" s="4">
        <v>68</v>
      </c>
      <c r="D632" s="8">
        <v>3.05</v>
      </c>
      <c r="E632" s="4">
        <v>18</v>
      </c>
      <c r="F632" s="8">
        <v>1.58</v>
      </c>
      <c r="G632" s="4">
        <v>50</v>
      </c>
      <c r="H632" s="8">
        <v>4.59</v>
      </c>
      <c r="I632" s="4">
        <v>0</v>
      </c>
    </row>
    <row r="633" spans="1:9" x14ac:dyDescent="0.2">
      <c r="A633" s="2">
        <v>4</v>
      </c>
      <c r="B633" s="1" t="s">
        <v>168</v>
      </c>
      <c r="C633" s="4">
        <v>66</v>
      </c>
      <c r="D633" s="8">
        <v>2.96</v>
      </c>
      <c r="E633" s="4">
        <v>64</v>
      </c>
      <c r="F633" s="8">
        <v>5.63</v>
      </c>
      <c r="G633" s="4">
        <v>2</v>
      </c>
      <c r="H633" s="8">
        <v>0.18</v>
      </c>
      <c r="I633" s="4">
        <v>0</v>
      </c>
    </row>
    <row r="634" spans="1:9" x14ac:dyDescent="0.2">
      <c r="A634" s="2">
        <v>5</v>
      </c>
      <c r="B634" s="1" t="s">
        <v>167</v>
      </c>
      <c r="C634" s="4">
        <v>60</v>
      </c>
      <c r="D634" s="8">
        <v>2.7</v>
      </c>
      <c r="E634" s="4">
        <v>58</v>
      </c>
      <c r="F634" s="8">
        <v>5.1100000000000003</v>
      </c>
      <c r="G634" s="4">
        <v>2</v>
      </c>
      <c r="H634" s="8">
        <v>0.18</v>
      </c>
      <c r="I634" s="4">
        <v>0</v>
      </c>
    </row>
    <row r="635" spans="1:9" x14ac:dyDescent="0.2">
      <c r="A635" s="2">
        <v>6</v>
      </c>
      <c r="B635" s="1" t="s">
        <v>165</v>
      </c>
      <c r="C635" s="4">
        <v>58</v>
      </c>
      <c r="D635" s="8">
        <v>2.61</v>
      </c>
      <c r="E635" s="4">
        <v>53</v>
      </c>
      <c r="F635" s="8">
        <v>4.67</v>
      </c>
      <c r="G635" s="4">
        <v>5</v>
      </c>
      <c r="H635" s="8">
        <v>0.46</v>
      </c>
      <c r="I635" s="4">
        <v>0</v>
      </c>
    </row>
    <row r="636" spans="1:9" x14ac:dyDescent="0.2">
      <c r="A636" s="2">
        <v>7</v>
      </c>
      <c r="B636" s="1" t="s">
        <v>215</v>
      </c>
      <c r="C636" s="4">
        <v>57</v>
      </c>
      <c r="D636" s="8">
        <v>2.56</v>
      </c>
      <c r="E636" s="4">
        <v>31</v>
      </c>
      <c r="F636" s="8">
        <v>2.73</v>
      </c>
      <c r="G636" s="4">
        <v>26</v>
      </c>
      <c r="H636" s="8">
        <v>2.39</v>
      </c>
      <c r="I636" s="4">
        <v>0</v>
      </c>
    </row>
    <row r="637" spans="1:9" x14ac:dyDescent="0.2">
      <c r="A637" s="2">
        <v>8</v>
      </c>
      <c r="B637" s="1" t="s">
        <v>159</v>
      </c>
      <c r="C637" s="4">
        <v>51</v>
      </c>
      <c r="D637" s="8">
        <v>2.29</v>
      </c>
      <c r="E637" s="4">
        <v>5</v>
      </c>
      <c r="F637" s="8">
        <v>0.44</v>
      </c>
      <c r="G637" s="4">
        <v>46</v>
      </c>
      <c r="H637" s="8">
        <v>4.22</v>
      </c>
      <c r="I637" s="4">
        <v>0</v>
      </c>
    </row>
    <row r="638" spans="1:9" x14ac:dyDescent="0.2">
      <c r="A638" s="2">
        <v>9</v>
      </c>
      <c r="B638" s="1" t="s">
        <v>152</v>
      </c>
      <c r="C638" s="4">
        <v>47</v>
      </c>
      <c r="D638" s="8">
        <v>2.11</v>
      </c>
      <c r="E638" s="4">
        <v>8</v>
      </c>
      <c r="F638" s="8">
        <v>0.7</v>
      </c>
      <c r="G638" s="4">
        <v>39</v>
      </c>
      <c r="H638" s="8">
        <v>3.58</v>
      </c>
      <c r="I638" s="4">
        <v>0</v>
      </c>
    </row>
    <row r="639" spans="1:9" x14ac:dyDescent="0.2">
      <c r="A639" s="2">
        <v>9</v>
      </c>
      <c r="B639" s="1" t="s">
        <v>153</v>
      </c>
      <c r="C639" s="4">
        <v>47</v>
      </c>
      <c r="D639" s="8">
        <v>2.11</v>
      </c>
      <c r="E639" s="4">
        <v>11</v>
      </c>
      <c r="F639" s="8">
        <v>0.97</v>
      </c>
      <c r="G639" s="4">
        <v>36</v>
      </c>
      <c r="H639" s="8">
        <v>3.31</v>
      </c>
      <c r="I639" s="4">
        <v>0</v>
      </c>
    </row>
    <row r="640" spans="1:9" x14ac:dyDescent="0.2">
      <c r="A640" s="2">
        <v>9</v>
      </c>
      <c r="B640" s="1" t="s">
        <v>198</v>
      </c>
      <c r="C640" s="4">
        <v>47</v>
      </c>
      <c r="D640" s="8">
        <v>2.11</v>
      </c>
      <c r="E640" s="4">
        <v>28</v>
      </c>
      <c r="F640" s="8">
        <v>2.46</v>
      </c>
      <c r="G640" s="4">
        <v>19</v>
      </c>
      <c r="H640" s="8">
        <v>1.74</v>
      </c>
      <c r="I640" s="4">
        <v>0</v>
      </c>
    </row>
    <row r="641" spans="1:9" x14ac:dyDescent="0.2">
      <c r="A641" s="2">
        <v>12</v>
      </c>
      <c r="B641" s="1" t="s">
        <v>161</v>
      </c>
      <c r="C641" s="4">
        <v>46</v>
      </c>
      <c r="D641" s="8">
        <v>2.0699999999999998</v>
      </c>
      <c r="E641" s="4">
        <v>34</v>
      </c>
      <c r="F641" s="8">
        <v>2.99</v>
      </c>
      <c r="G641" s="4">
        <v>12</v>
      </c>
      <c r="H641" s="8">
        <v>1.1000000000000001</v>
      </c>
      <c r="I641" s="4">
        <v>0</v>
      </c>
    </row>
    <row r="642" spans="1:9" x14ac:dyDescent="0.2">
      <c r="A642" s="2">
        <v>13</v>
      </c>
      <c r="B642" s="1" t="s">
        <v>174</v>
      </c>
      <c r="C642" s="4">
        <v>44</v>
      </c>
      <c r="D642" s="8">
        <v>1.98</v>
      </c>
      <c r="E642" s="4">
        <v>9</v>
      </c>
      <c r="F642" s="8">
        <v>0.79</v>
      </c>
      <c r="G642" s="4">
        <v>35</v>
      </c>
      <c r="H642" s="8">
        <v>3.21</v>
      </c>
      <c r="I642" s="4">
        <v>0</v>
      </c>
    </row>
    <row r="643" spans="1:9" x14ac:dyDescent="0.2">
      <c r="A643" s="2">
        <v>14</v>
      </c>
      <c r="B643" s="1" t="s">
        <v>190</v>
      </c>
      <c r="C643" s="4">
        <v>42</v>
      </c>
      <c r="D643" s="8">
        <v>1.89</v>
      </c>
      <c r="E643" s="4">
        <v>6</v>
      </c>
      <c r="F643" s="8">
        <v>0.53</v>
      </c>
      <c r="G643" s="4">
        <v>36</v>
      </c>
      <c r="H643" s="8">
        <v>3.31</v>
      </c>
      <c r="I643" s="4">
        <v>0</v>
      </c>
    </row>
    <row r="644" spans="1:9" x14ac:dyDescent="0.2">
      <c r="A644" s="2">
        <v>15</v>
      </c>
      <c r="B644" s="1" t="s">
        <v>170</v>
      </c>
      <c r="C644" s="4">
        <v>39</v>
      </c>
      <c r="D644" s="8">
        <v>1.75</v>
      </c>
      <c r="E644" s="4">
        <v>32</v>
      </c>
      <c r="F644" s="8">
        <v>2.82</v>
      </c>
      <c r="G644" s="4">
        <v>7</v>
      </c>
      <c r="H644" s="8">
        <v>0.64</v>
      </c>
      <c r="I644" s="4">
        <v>0</v>
      </c>
    </row>
    <row r="645" spans="1:9" x14ac:dyDescent="0.2">
      <c r="A645" s="2">
        <v>16</v>
      </c>
      <c r="B645" s="1" t="s">
        <v>210</v>
      </c>
      <c r="C645" s="4">
        <v>38</v>
      </c>
      <c r="D645" s="8">
        <v>1.71</v>
      </c>
      <c r="E645" s="4">
        <v>7</v>
      </c>
      <c r="F645" s="8">
        <v>0.62</v>
      </c>
      <c r="G645" s="4">
        <v>31</v>
      </c>
      <c r="H645" s="8">
        <v>2.85</v>
      </c>
      <c r="I645" s="4">
        <v>0</v>
      </c>
    </row>
    <row r="646" spans="1:9" x14ac:dyDescent="0.2">
      <c r="A646" s="2">
        <v>16</v>
      </c>
      <c r="B646" s="1" t="s">
        <v>157</v>
      </c>
      <c r="C646" s="4">
        <v>38</v>
      </c>
      <c r="D646" s="8">
        <v>1.71</v>
      </c>
      <c r="E646" s="4">
        <v>32</v>
      </c>
      <c r="F646" s="8">
        <v>2.82</v>
      </c>
      <c r="G646" s="4">
        <v>6</v>
      </c>
      <c r="H646" s="8">
        <v>0.55000000000000004</v>
      </c>
      <c r="I646" s="4">
        <v>0</v>
      </c>
    </row>
    <row r="647" spans="1:9" x14ac:dyDescent="0.2">
      <c r="A647" s="2">
        <v>18</v>
      </c>
      <c r="B647" s="1" t="s">
        <v>212</v>
      </c>
      <c r="C647" s="4">
        <v>36</v>
      </c>
      <c r="D647" s="8">
        <v>1.62</v>
      </c>
      <c r="E647" s="4">
        <v>36</v>
      </c>
      <c r="F647" s="8">
        <v>3.17</v>
      </c>
      <c r="G647" s="4">
        <v>0</v>
      </c>
      <c r="H647" s="8">
        <v>0</v>
      </c>
      <c r="I647" s="4">
        <v>0</v>
      </c>
    </row>
    <row r="648" spans="1:9" x14ac:dyDescent="0.2">
      <c r="A648" s="2">
        <v>19</v>
      </c>
      <c r="B648" s="1" t="s">
        <v>191</v>
      </c>
      <c r="C648" s="4">
        <v>35</v>
      </c>
      <c r="D648" s="8">
        <v>1.57</v>
      </c>
      <c r="E648" s="4">
        <v>8</v>
      </c>
      <c r="F648" s="8">
        <v>0.7</v>
      </c>
      <c r="G648" s="4">
        <v>27</v>
      </c>
      <c r="H648" s="8">
        <v>2.48</v>
      </c>
      <c r="I648" s="4">
        <v>0</v>
      </c>
    </row>
    <row r="649" spans="1:9" x14ac:dyDescent="0.2">
      <c r="A649" s="2">
        <v>20</v>
      </c>
      <c r="B649" s="1" t="s">
        <v>158</v>
      </c>
      <c r="C649" s="4">
        <v>34</v>
      </c>
      <c r="D649" s="8">
        <v>1.53</v>
      </c>
      <c r="E649" s="4">
        <v>9</v>
      </c>
      <c r="F649" s="8">
        <v>0.79</v>
      </c>
      <c r="G649" s="4">
        <v>25</v>
      </c>
      <c r="H649" s="8">
        <v>2.2999999999999998</v>
      </c>
      <c r="I649" s="4">
        <v>0</v>
      </c>
    </row>
    <row r="650" spans="1:9" x14ac:dyDescent="0.2">
      <c r="A650" s="1"/>
      <c r="C650" s="4"/>
      <c r="D650" s="8"/>
      <c r="E650" s="4"/>
      <c r="F650" s="8"/>
      <c r="G650" s="4"/>
      <c r="H650" s="8"/>
      <c r="I650" s="4"/>
    </row>
    <row r="651" spans="1:9" x14ac:dyDescent="0.2">
      <c r="A651" s="1" t="s">
        <v>29</v>
      </c>
      <c r="C651" s="4"/>
      <c r="D651" s="8"/>
      <c r="E651" s="4"/>
      <c r="F651" s="8"/>
      <c r="G651" s="4"/>
      <c r="H651" s="8"/>
      <c r="I651" s="4"/>
    </row>
    <row r="652" spans="1:9" x14ac:dyDescent="0.2">
      <c r="A652" s="2">
        <v>1</v>
      </c>
      <c r="B652" s="1" t="s">
        <v>169</v>
      </c>
      <c r="C652" s="4">
        <v>103</v>
      </c>
      <c r="D652" s="8">
        <v>7.76</v>
      </c>
      <c r="E652" s="4">
        <v>96</v>
      </c>
      <c r="F652" s="8">
        <v>11.84</v>
      </c>
      <c r="G652" s="4">
        <v>7</v>
      </c>
      <c r="H652" s="8">
        <v>1.36</v>
      </c>
      <c r="I652" s="4">
        <v>0</v>
      </c>
    </row>
    <row r="653" spans="1:9" x14ac:dyDescent="0.2">
      <c r="A653" s="2">
        <v>2</v>
      </c>
      <c r="B653" s="1" t="s">
        <v>171</v>
      </c>
      <c r="C653" s="4">
        <v>66</v>
      </c>
      <c r="D653" s="8">
        <v>4.97</v>
      </c>
      <c r="E653" s="4">
        <v>58</v>
      </c>
      <c r="F653" s="8">
        <v>7.15</v>
      </c>
      <c r="G653" s="4">
        <v>8</v>
      </c>
      <c r="H653" s="8">
        <v>1.56</v>
      </c>
      <c r="I653" s="4">
        <v>0</v>
      </c>
    </row>
    <row r="654" spans="1:9" x14ac:dyDescent="0.2">
      <c r="A654" s="2">
        <v>3</v>
      </c>
      <c r="B654" s="1" t="s">
        <v>160</v>
      </c>
      <c r="C654" s="4">
        <v>60</v>
      </c>
      <c r="D654" s="8">
        <v>4.5199999999999996</v>
      </c>
      <c r="E654" s="4">
        <v>16</v>
      </c>
      <c r="F654" s="8">
        <v>1.97</v>
      </c>
      <c r="G654" s="4">
        <v>44</v>
      </c>
      <c r="H654" s="8">
        <v>8.56</v>
      </c>
      <c r="I654" s="4">
        <v>0</v>
      </c>
    </row>
    <row r="655" spans="1:9" x14ac:dyDescent="0.2">
      <c r="A655" s="2">
        <v>4</v>
      </c>
      <c r="B655" s="1" t="s">
        <v>168</v>
      </c>
      <c r="C655" s="4">
        <v>57</v>
      </c>
      <c r="D655" s="8">
        <v>4.3</v>
      </c>
      <c r="E655" s="4">
        <v>57</v>
      </c>
      <c r="F655" s="8">
        <v>7.03</v>
      </c>
      <c r="G655" s="4">
        <v>0</v>
      </c>
      <c r="H655" s="8">
        <v>0</v>
      </c>
      <c r="I655" s="4">
        <v>0</v>
      </c>
    </row>
    <row r="656" spans="1:9" x14ac:dyDescent="0.2">
      <c r="A656" s="2">
        <v>5</v>
      </c>
      <c r="B656" s="1" t="s">
        <v>161</v>
      </c>
      <c r="C656" s="4">
        <v>47</v>
      </c>
      <c r="D656" s="8">
        <v>3.54</v>
      </c>
      <c r="E656" s="4">
        <v>39</v>
      </c>
      <c r="F656" s="8">
        <v>4.8099999999999996</v>
      </c>
      <c r="G656" s="4">
        <v>8</v>
      </c>
      <c r="H656" s="8">
        <v>1.56</v>
      </c>
      <c r="I656" s="4">
        <v>0</v>
      </c>
    </row>
    <row r="657" spans="1:9" x14ac:dyDescent="0.2">
      <c r="A657" s="2">
        <v>6</v>
      </c>
      <c r="B657" s="1" t="s">
        <v>165</v>
      </c>
      <c r="C657" s="4">
        <v>41</v>
      </c>
      <c r="D657" s="8">
        <v>3.09</v>
      </c>
      <c r="E657" s="4">
        <v>41</v>
      </c>
      <c r="F657" s="8">
        <v>5.0599999999999996</v>
      </c>
      <c r="G657" s="4">
        <v>0</v>
      </c>
      <c r="H657" s="8">
        <v>0</v>
      </c>
      <c r="I657" s="4">
        <v>0</v>
      </c>
    </row>
    <row r="658" spans="1:9" x14ac:dyDescent="0.2">
      <c r="A658" s="2">
        <v>7</v>
      </c>
      <c r="B658" s="1" t="s">
        <v>167</v>
      </c>
      <c r="C658" s="4">
        <v>35</v>
      </c>
      <c r="D658" s="8">
        <v>2.64</v>
      </c>
      <c r="E658" s="4">
        <v>34</v>
      </c>
      <c r="F658" s="8">
        <v>4.1900000000000004</v>
      </c>
      <c r="G658" s="4">
        <v>1</v>
      </c>
      <c r="H658" s="8">
        <v>0.19</v>
      </c>
      <c r="I658" s="4">
        <v>0</v>
      </c>
    </row>
    <row r="659" spans="1:9" x14ac:dyDescent="0.2">
      <c r="A659" s="2">
        <v>7</v>
      </c>
      <c r="B659" s="1" t="s">
        <v>170</v>
      </c>
      <c r="C659" s="4">
        <v>35</v>
      </c>
      <c r="D659" s="8">
        <v>2.64</v>
      </c>
      <c r="E659" s="4">
        <v>31</v>
      </c>
      <c r="F659" s="8">
        <v>3.82</v>
      </c>
      <c r="G659" s="4">
        <v>4</v>
      </c>
      <c r="H659" s="8">
        <v>0.78</v>
      </c>
      <c r="I659" s="4">
        <v>0</v>
      </c>
    </row>
    <row r="660" spans="1:9" x14ac:dyDescent="0.2">
      <c r="A660" s="2">
        <v>9</v>
      </c>
      <c r="B660" s="1" t="s">
        <v>157</v>
      </c>
      <c r="C660" s="4">
        <v>32</v>
      </c>
      <c r="D660" s="8">
        <v>2.41</v>
      </c>
      <c r="E660" s="4">
        <v>24</v>
      </c>
      <c r="F660" s="8">
        <v>2.96</v>
      </c>
      <c r="G660" s="4">
        <v>8</v>
      </c>
      <c r="H660" s="8">
        <v>1.56</v>
      </c>
      <c r="I660" s="4">
        <v>0</v>
      </c>
    </row>
    <row r="661" spans="1:9" x14ac:dyDescent="0.2">
      <c r="A661" s="2">
        <v>10</v>
      </c>
      <c r="B661" s="1" t="s">
        <v>196</v>
      </c>
      <c r="C661" s="4">
        <v>27</v>
      </c>
      <c r="D661" s="8">
        <v>2.0299999999999998</v>
      </c>
      <c r="E661" s="4">
        <v>19</v>
      </c>
      <c r="F661" s="8">
        <v>2.34</v>
      </c>
      <c r="G661" s="4">
        <v>8</v>
      </c>
      <c r="H661" s="8">
        <v>1.56</v>
      </c>
      <c r="I661" s="4">
        <v>0</v>
      </c>
    </row>
    <row r="662" spans="1:9" x14ac:dyDescent="0.2">
      <c r="A662" s="2">
        <v>11</v>
      </c>
      <c r="B662" s="1" t="s">
        <v>159</v>
      </c>
      <c r="C662" s="4">
        <v>24</v>
      </c>
      <c r="D662" s="8">
        <v>1.81</v>
      </c>
      <c r="E662" s="4">
        <v>4</v>
      </c>
      <c r="F662" s="8">
        <v>0.49</v>
      </c>
      <c r="G662" s="4">
        <v>20</v>
      </c>
      <c r="H662" s="8">
        <v>3.89</v>
      </c>
      <c r="I662" s="4">
        <v>0</v>
      </c>
    </row>
    <row r="663" spans="1:9" x14ac:dyDescent="0.2">
      <c r="A663" s="2">
        <v>12</v>
      </c>
      <c r="B663" s="1" t="s">
        <v>158</v>
      </c>
      <c r="C663" s="4">
        <v>22</v>
      </c>
      <c r="D663" s="8">
        <v>1.66</v>
      </c>
      <c r="E663" s="4">
        <v>5</v>
      </c>
      <c r="F663" s="8">
        <v>0.62</v>
      </c>
      <c r="G663" s="4">
        <v>17</v>
      </c>
      <c r="H663" s="8">
        <v>3.31</v>
      </c>
      <c r="I663" s="4">
        <v>0</v>
      </c>
    </row>
    <row r="664" spans="1:9" x14ac:dyDescent="0.2">
      <c r="A664" s="2">
        <v>13</v>
      </c>
      <c r="B664" s="1" t="s">
        <v>153</v>
      </c>
      <c r="C664" s="4">
        <v>21</v>
      </c>
      <c r="D664" s="8">
        <v>1.58</v>
      </c>
      <c r="E664" s="4">
        <v>8</v>
      </c>
      <c r="F664" s="8">
        <v>0.99</v>
      </c>
      <c r="G664" s="4">
        <v>13</v>
      </c>
      <c r="H664" s="8">
        <v>2.5299999999999998</v>
      </c>
      <c r="I664" s="4">
        <v>0</v>
      </c>
    </row>
    <row r="665" spans="1:9" x14ac:dyDescent="0.2">
      <c r="A665" s="2">
        <v>13</v>
      </c>
      <c r="B665" s="1" t="s">
        <v>176</v>
      </c>
      <c r="C665" s="4">
        <v>21</v>
      </c>
      <c r="D665" s="8">
        <v>1.58</v>
      </c>
      <c r="E665" s="4">
        <v>9</v>
      </c>
      <c r="F665" s="8">
        <v>1.1100000000000001</v>
      </c>
      <c r="G665" s="4">
        <v>12</v>
      </c>
      <c r="H665" s="8">
        <v>2.33</v>
      </c>
      <c r="I665" s="4">
        <v>0</v>
      </c>
    </row>
    <row r="666" spans="1:9" x14ac:dyDescent="0.2">
      <c r="A666" s="2">
        <v>13</v>
      </c>
      <c r="B666" s="1" t="s">
        <v>166</v>
      </c>
      <c r="C666" s="4">
        <v>21</v>
      </c>
      <c r="D666" s="8">
        <v>1.58</v>
      </c>
      <c r="E666" s="4">
        <v>21</v>
      </c>
      <c r="F666" s="8">
        <v>2.59</v>
      </c>
      <c r="G666" s="4">
        <v>0</v>
      </c>
      <c r="H666" s="8">
        <v>0</v>
      </c>
      <c r="I666" s="4">
        <v>0</v>
      </c>
    </row>
    <row r="667" spans="1:9" x14ac:dyDescent="0.2">
      <c r="A667" s="2">
        <v>16</v>
      </c>
      <c r="B667" s="1" t="s">
        <v>199</v>
      </c>
      <c r="C667" s="4">
        <v>20</v>
      </c>
      <c r="D667" s="8">
        <v>1.51</v>
      </c>
      <c r="E667" s="4">
        <v>17</v>
      </c>
      <c r="F667" s="8">
        <v>2.1</v>
      </c>
      <c r="G667" s="4">
        <v>3</v>
      </c>
      <c r="H667" s="8">
        <v>0.57999999999999996</v>
      </c>
      <c r="I667" s="4">
        <v>0</v>
      </c>
    </row>
    <row r="668" spans="1:9" x14ac:dyDescent="0.2">
      <c r="A668" s="2">
        <v>17</v>
      </c>
      <c r="B668" s="1" t="s">
        <v>190</v>
      </c>
      <c r="C668" s="4">
        <v>17</v>
      </c>
      <c r="D668" s="8">
        <v>1.28</v>
      </c>
      <c r="E668" s="4">
        <v>3</v>
      </c>
      <c r="F668" s="8">
        <v>0.37</v>
      </c>
      <c r="G668" s="4">
        <v>14</v>
      </c>
      <c r="H668" s="8">
        <v>2.72</v>
      </c>
      <c r="I668" s="4">
        <v>0</v>
      </c>
    </row>
    <row r="669" spans="1:9" x14ac:dyDescent="0.2">
      <c r="A669" s="2">
        <v>17</v>
      </c>
      <c r="B669" s="1" t="s">
        <v>164</v>
      </c>
      <c r="C669" s="4">
        <v>17</v>
      </c>
      <c r="D669" s="8">
        <v>1.28</v>
      </c>
      <c r="E669" s="4">
        <v>16</v>
      </c>
      <c r="F669" s="8">
        <v>1.97</v>
      </c>
      <c r="G669" s="4">
        <v>1</v>
      </c>
      <c r="H669" s="8">
        <v>0.19</v>
      </c>
      <c r="I669" s="4">
        <v>0</v>
      </c>
    </row>
    <row r="670" spans="1:9" x14ac:dyDescent="0.2">
      <c r="A670" s="2">
        <v>17</v>
      </c>
      <c r="B670" s="1" t="s">
        <v>211</v>
      </c>
      <c r="C670" s="4">
        <v>17</v>
      </c>
      <c r="D670" s="8">
        <v>1.28</v>
      </c>
      <c r="E670" s="4">
        <v>16</v>
      </c>
      <c r="F670" s="8">
        <v>1.97</v>
      </c>
      <c r="G670" s="4">
        <v>1</v>
      </c>
      <c r="H670" s="8">
        <v>0.19</v>
      </c>
      <c r="I670" s="4">
        <v>0</v>
      </c>
    </row>
    <row r="671" spans="1:9" x14ac:dyDescent="0.2">
      <c r="A671" s="2">
        <v>20</v>
      </c>
      <c r="B671" s="1" t="s">
        <v>152</v>
      </c>
      <c r="C671" s="4">
        <v>16</v>
      </c>
      <c r="D671" s="8">
        <v>1.21</v>
      </c>
      <c r="E671" s="4">
        <v>4</v>
      </c>
      <c r="F671" s="8">
        <v>0.49</v>
      </c>
      <c r="G671" s="4">
        <v>12</v>
      </c>
      <c r="H671" s="8">
        <v>2.33</v>
      </c>
      <c r="I671" s="4">
        <v>0</v>
      </c>
    </row>
    <row r="672" spans="1:9" x14ac:dyDescent="0.2">
      <c r="A672" s="2">
        <v>20</v>
      </c>
      <c r="B672" s="1" t="s">
        <v>155</v>
      </c>
      <c r="C672" s="4">
        <v>16</v>
      </c>
      <c r="D672" s="8">
        <v>1.21</v>
      </c>
      <c r="E672" s="4">
        <v>12</v>
      </c>
      <c r="F672" s="8">
        <v>1.48</v>
      </c>
      <c r="G672" s="4">
        <v>4</v>
      </c>
      <c r="H672" s="8">
        <v>0.78</v>
      </c>
      <c r="I672" s="4">
        <v>0</v>
      </c>
    </row>
    <row r="673" spans="1:9" x14ac:dyDescent="0.2">
      <c r="A673" s="2">
        <v>20</v>
      </c>
      <c r="B673" s="1" t="s">
        <v>223</v>
      </c>
      <c r="C673" s="4">
        <v>16</v>
      </c>
      <c r="D673" s="8">
        <v>1.21</v>
      </c>
      <c r="E673" s="4">
        <v>9</v>
      </c>
      <c r="F673" s="8">
        <v>1.1100000000000001</v>
      </c>
      <c r="G673" s="4">
        <v>7</v>
      </c>
      <c r="H673" s="8">
        <v>1.36</v>
      </c>
      <c r="I673" s="4">
        <v>0</v>
      </c>
    </row>
    <row r="674" spans="1:9" x14ac:dyDescent="0.2">
      <c r="A674" s="1"/>
      <c r="C674" s="4"/>
      <c r="D674" s="8"/>
      <c r="E674" s="4"/>
      <c r="F674" s="8"/>
      <c r="G674" s="4"/>
      <c r="H674" s="8"/>
      <c r="I674" s="4"/>
    </row>
    <row r="675" spans="1:9" x14ac:dyDescent="0.2">
      <c r="A675" s="1" t="s">
        <v>30</v>
      </c>
      <c r="C675" s="4"/>
      <c r="D675" s="8"/>
      <c r="E675" s="4"/>
      <c r="F675" s="8"/>
      <c r="G675" s="4"/>
      <c r="H675" s="8"/>
      <c r="I675" s="4"/>
    </row>
    <row r="676" spans="1:9" x14ac:dyDescent="0.2">
      <c r="A676" s="2">
        <v>1</v>
      </c>
      <c r="B676" s="1" t="s">
        <v>169</v>
      </c>
      <c r="C676" s="4">
        <v>124</v>
      </c>
      <c r="D676" s="8">
        <v>5.18</v>
      </c>
      <c r="E676" s="4">
        <v>116</v>
      </c>
      <c r="F676" s="8">
        <v>9.9</v>
      </c>
      <c r="G676" s="4">
        <v>8</v>
      </c>
      <c r="H676" s="8">
        <v>0.66</v>
      </c>
      <c r="I676" s="4">
        <v>0</v>
      </c>
    </row>
    <row r="677" spans="1:9" x14ac:dyDescent="0.2">
      <c r="A677" s="2">
        <v>2</v>
      </c>
      <c r="B677" s="1" t="s">
        <v>160</v>
      </c>
      <c r="C677" s="4">
        <v>97</v>
      </c>
      <c r="D677" s="8">
        <v>4.05</v>
      </c>
      <c r="E677" s="4">
        <v>28</v>
      </c>
      <c r="F677" s="8">
        <v>2.39</v>
      </c>
      <c r="G677" s="4">
        <v>69</v>
      </c>
      <c r="H677" s="8">
        <v>5.67</v>
      </c>
      <c r="I677" s="4">
        <v>0</v>
      </c>
    </row>
    <row r="678" spans="1:9" x14ac:dyDescent="0.2">
      <c r="A678" s="2">
        <v>3</v>
      </c>
      <c r="B678" s="1" t="s">
        <v>171</v>
      </c>
      <c r="C678" s="4">
        <v>83</v>
      </c>
      <c r="D678" s="8">
        <v>3.47</v>
      </c>
      <c r="E678" s="4">
        <v>70</v>
      </c>
      <c r="F678" s="8">
        <v>5.97</v>
      </c>
      <c r="G678" s="4">
        <v>13</v>
      </c>
      <c r="H678" s="8">
        <v>1.07</v>
      </c>
      <c r="I678" s="4">
        <v>0</v>
      </c>
    </row>
    <row r="679" spans="1:9" x14ac:dyDescent="0.2">
      <c r="A679" s="2">
        <v>4</v>
      </c>
      <c r="B679" s="1" t="s">
        <v>165</v>
      </c>
      <c r="C679" s="4">
        <v>74</v>
      </c>
      <c r="D679" s="8">
        <v>3.09</v>
      </c>
      <c r="E679" s="4">
        <v>70</v>
      </c>
      <c r="F679" s="8">
        <v>5.97</v>
      </c>
      <c r="G679" s="4">
        <v>4</v>
      </c>
      <c r="H679" s="8">
        <v>0.33</v>
      </c>
      <c r="I679" s="4">
        <v>0</v>
      </c>
    </row>
    <row r="680" spans="1:9" x14ac:dyDescent="0.2">
      <c r="A680" s="2">
        <v>5</v>
      </c>
      <c r="B680" s="1" t="s">
        <v>168</v>
      </c>
      <c r="C680" s="4">
        <v>70</v>
      </c>
      <c r="D680" s="8">
        <v>2.93</v>
      </c>
      <c r="E680" s="4">
        <v>69</v>
      </c>
      <c r="F680" s="8">
        <v>5.89</v>
      </c>
      <c r="G680" s="4">
        <v>1</v>
      </c>
      <c r="H680" s="8">
        <v>0.08</v>
      </c>
      <c r="I680" s="4">
        <v>0</v>
      </c>
    </row>
    <row r="681" spans="1:9" x14ac:dyDescent="0.2">
      <c r="A681" s="2">
        <v>6</v>
      </c>
      <c r="B681" s="1" t="s">
        <v>167</v>
      </c>
      <c r="C681" s="4">
        <v>60</v>
      </c>
      <c r="D681" s="8">
        <v>2.5099999999999998</v>
      </c>
      <c r="E681" s="4">
        <v>57</v>
      </c>
      <c r="F681" s="8">
        <v>4.8600000000000003</v>
      </c>
      <c r="G681" s="4">
        <v>3</v>
      </c>
      <c r="H681" s="8">
        <v>0.25</v>
      </c>
      <c r="I681" s="4">
        <v>0</v>
      </c>
    </row>
    <row r="682" spans="1:9" x14ac:dyDescent="0.2">
      <c r="A682" s="2">
        <v>7</v>
      </c>
      <c r="B682" s="1" t="s">
        <v>215</v>
      </c>
      <c r="C682" s="4">
        <v>57</v>
      </c>
      <c r="D682" s="8">
        <v>2.38</v>
      </c>
      <c r="E682" s="4">
        <v>32</v>
      </c>
      <c r="F682" s="8">
        <v>2.73</v>
      </c>
      <c r="G682" s="4">
        <v>25</v>
      </c>
      <c r="H682" s="8">
        <v>2.0499999999999998</v>
      </c>
      <c r="I682" s="4">
        <v>0</v>
      </c>
    </row>
    <row r="683" spans="1:9" x14ac:dyDescent="0.2">
      <c r="A683" s="2">
        <v>8</v>
      </c>
      <c r="B683" s="1" t="s">
        <v>170</v>
      </c>
      <c r="C683" s="4">
        <v>56</v>
      </c>
      <c r="D683" s="8">
        <v>2.34</v>
      </c>
      <c r="E683" s="4">
        <v>44</v>
      </c>
      <c r="F683" s="8">
        <v>3.75</v>
      </c>
      <c r="G683" s="4">
        <v>12</v>
      </c>
      <c r="H683" s="8">
        <v>0.99</v>
      </c>
      <c r="I683" s="4">
        <v>0</v>
      </c>
    </row>
    <row r="684" spans="1:9" x14ac:dyDescent="0.2">
      <c r="A684" s="2">
        <v>9</v>
      </c>
      <c r="B684" s="1" t="s">
        <v>157</v>
      </c>
      <c r="C684" s="4">
        <v>51</v>
      </c>
      <c r="D684" s="8">
        <v>2.13</v>
      </c>
      <c r="E684" s="4">
        <v>38</v>
      </c>
      <c r="F684" s="8">
        <v>3.24</v>
      </c>
      <c r="G684" s="4">
        <v>13</v>
      </c>
      <c r="H684" s="8">
        <v>1.07</v>
      </c>
      <c r="I684" s="4">
        <v>0</v>
      </c>
    </row>
    <row r="685" spans="1:9" x14ac:dyDescent="0.2">
      <c r="A685" s="2">
        <v>10</v>
      </c>
      <c r="B685" s="1" t="s">
        <v>153</v>
      </c>
      <c r="C685" s="4">
        <v>45</v>
      </c>
      <c r="D685" s="8">
        <v>1.88</v>
      </c>
      <c r="E685" s="4">
        <v>6</v>
      </c>
      <c r="F685" s="8">
        <v>0.51</v>
      </c>
      <c r="G685" s="4">
        <v>39</v>
      </c>
      <c r="H685" s="8">
        <v>3.2</v>
      </c>
      <c r="I685" s="4">
        <v>0</v>
      </c>
    </row>
    <row r="686" spans="1:9" x14ac:dyDescent="0.2">
      <c r="A686" s="2">
        <v>11</v>
      </c>
      <c r="B686" s="1" t="s">
        <v>152</v>
      </c>
      <c r="C686" s="4">
        <v>44</v>
      </c>
      <c r="D686" s="8">
        <v>1.84</v>
      </c>
      <c r="E686" s="4">
        <v>10</v>
      </c>
      <c r="F686" s="8">
        <v>0.85</v>
      </c>
      <c r="G686" s="4">
        <v>34</v>
      </c>
      <c r="H686" s="8">
        <v>2.79</v>
      </c>
      <c r="I686" s="4">
        <v>0</v>
      </c>
    </row>
    <row r="687" spans="1:9" x14ac:dyDescent="0.2">
      <c r="A687" s="2">
        <v>11</v>
      </c>
      <c r="B687" s="1" t="s">
        <v>174</v>
      </c>
      <c r="C687" s="4">
        <v>44</v>
      </c>
      <c r="D687" s="8">
        <v>1.84</v>
      </c>
      <c r="E687" s="4">
        <v>3</v>
      </c>
      <c r="F687" s="8">
        <v>0.26</v>
      </c>
      <c r="G687" s="4">
        <v>41</v>
      </c>
      <c r="H687" s="8">
        <v>3.37</v>
      </c>
      <c r="I687" s="4">
        <v>0</v>
      </c>
    </row>
    <row r="688" spans="1:9" x14ac:dyDescent="0.2">
      <c r="A688" s="2">
        <v>11</v>
      </c>
      <c r="B688" s="1" t="s">
        <v>159</v>
      </c>
      <c r="C688" s="4">
        <v>44</v>
      </c>
      <c r="D688" s="8">
        <v>1.84</v>
      </c>
      <c r="E688" s="4">
        <v>7</v>
      </c>
      <c r="F688" s="8">
        <v>0.6</v>
      </c>
      <c r="G688" s="4">
        <v>37</v>
      </c>
      <c r="H688" s="8">
        <v>3.04</v>
      </c>
      <c r="I688" s="4">
        <v>0</v>
      </c>
    </row>
    <row r="689" spans="1:9" x14ac:dyDescent="0.2">
      <c r="A689" s="2">
        <v>11</v>
      </c>
      <c r="B689" s="1" t="s">
        <v>164</v>
      </c>
      <c r="C689" s="4">
        <v>44</v>
      </c>
      <c r="D689" s="8">
        <v>1.84</v>
      </c>
      <c r="E689" s="4">
        <v>38</v>
      </c>
      <c r="F689" s="8">
        <v>3.24</v>
      </c>
      <c r="G689" s="4">
        <v>6</v>
      </c>
      <c r="H689" s="8">
        <v>0.49</v>
      </c>
      <c r="I689" s="4">
        <v>0</v>
      </c>
    </row>
    <row r="690" spans="1:9" x14ac:dyDescent="0.2">
      <c r="A690" s="2">
        <v>15</v>
      </c>
      <c r="B690" s="1" t="s">
        <v>161</v>
      </c>
      <c r="C690" s="4">
        <v>40</v>
      </c>
      <c r="D690" s="8">
        <v>1.67</v>
      </c>
      <c r="E690" s="4">
        <v>23</v>
      </c>
      <c r="F690" s="8">
        <v>1.96</v>
      </c>
      <c r="G690" s="4">
        <v>17</v>
      </c>
      <c r="H690" s="8">
        <v>1.4</v>
      </c>
      <c r="I690" s="4">
        <v>0</v>
      </c>
    </row>
    <row r="691" spans="1:9" x14ac:dyDescent="0.2">
      <c r="A691" s="2">
        <v>16</v>
      </c>
      <c r="B691" s="1" t="s">
        <v>210</v>
      </c>
      <c r="C691" s="4">
        <v>32</v>
      </c>
      <c r="D691" s="8">
        <v>1.34</v>
      </c>
      <c r="E691" s="4">
        <v>6</v>
      </c>
      <c r="F691" s="8">
        <v>0.51</v>
      </c>
      <c r="G691" s="4">
        <v>26</v>
      </c>
      <c r="H691" s="8">
        <v>2.13</v>
      </c>
      <c r="I691" s="4">
        <v>0</v>
      </c>
    </row>
    <row r="692" spans="1:9" x14ac:dyDescent="0.2">
      <c r="A692" s="2">
        <v>16</v>
      </c>
      <c r="B692" s="1" t="s">
        <v>156</v>
      </c>
      <c r="C692" s="4">
        <v>32</v>
      </c>
      <c r="D692" s="8">
        <v>1.34</v>
      </c>
      <c r="E692" s="4">
        <v>20</v>
      </c>
      <c r="F692" s="8">
        <v>1.71</v>
      </c>
      <c r="G692" s="4">
        <v>12</v>
      </c>
      <c r="H692" s="8">
        <v>0.99</v>
      </c>
      <c r="I692" s="4">
        <v>0</v>
      </c>
    </row>
    <row r="693" spans="1:9" x14ac:dyDescent="0.2">
      <c r="A693" s="2">
        <v>16</v>
      </c>
      <c r="B693" s="1" t="s">
        <v>158</v>
      </c>
      <c r="C693" s="4">
        <v>32</v>
      </c>
      <c r="D693" s="8">
        <v>1.34</v>
      </c>
      <c r="E693" s="4">
        <v>9</v>
      </c>
      <c r="F693" s="8">
        <v>0.77</v>
      </c>
      <c r="G693" s="4">
        <v>23</v>
      </c>
      <c r="H693" s="8">
        <v>1.89</v>
      </c>
      <c r="I693" s="4">
        <v>0</v>
      </c>
    </row>
    <row r="694" spans="1:9" x14ac:dyDescent="0.2">
      <c r="A694" s="2">
        <v>19</v>
      </c>
      <c r="B694" s="1" t="s">
        <v>196</v>
      </c>
      <c r="C694" s="4">
        <v>30</v>
      </c>
      <c r="D694" s="8">
        <v>1.25</v>
      </c>
      <c r="E694" s="4">
        <v>16</v>
      </c>
      <c r="F694" s="8">
        <v>1.37</v>
      </c>
      <c r="G694" s="4">
        <v>14</v>
      </c>
      <c r="H694" s="8">
        <v>1.1499999999999999</v>
      </c>
      <c r="I694" s="4">
        <v>0</v>
      </c>
    </row>
    <row r="695" spans="1:9" x14ac:dyDescent="0.2">
      <c r="A695" s="2">
        <v>20</v>
      </c>
      <c r="B695" s="1" t="s">
        <v>155</v>
      </c>
      <c r="C695" s="4">
        <v>29</v>
      </c>
      <c r="D695" s="8">
        <v>1.21</v>
      </c>
      <c r="E695" s="4">
        <v>20</v>
      </c>
      <c r="F695" s="8">
        <v>1.71</v>
      </c>
      <c r="G695" s="4">
        <v>9</v>
      </c>
      <c r="H695" s="8">
        <v>0.74</v>
      </c>
      <c r="I695" s="4">
        <v>0</v>
      </c>
    </row>
    <row r="696" spans="1:9" x14ac:dyDescent="0.2">
      <c r="A696" s="2">
        <v>20</v>
      </c>
      <c r="B696" s="1" t="s">
        <v>198</v>
      </c>
      <c r="C696" s="4">
        <v>29</v>
      </c>
      <c r="D696" s="8">
        <v>1.21</v>
      </c>
      <c r="E696" s="4">
        <v>16</v>
      </c>
      <c r="F696" s="8">
        <v>1.37</v>
      </c>
      <c r="G696" s="4">
        <v>13</v>
      </c>
      <c r="H696" s="8">
        <v>1.07</v>
      </c>
      <c r="I696" s="4">
        <v>0</v>
      </c>
    </row>
    <row r="697" spans="1:9" x14ac:dyDescent="0.2">
      <c r="A697" s="1"/>
      <c r="C697" s="4"/>
      <c r="D697" s="8"/>
      <c r="E697" s="4"/>
      <c r="F697" s="8"/>
      <c r="G697" s="4"/>
      <c r="H697" s="8"/>
      <c r="I697" s="4"/>
    </row>
    <row r="698" spans="1:9" x14ac:dyDescent="0.2">
      <c r="A698" s="1" t="s">
        <v>31</v>
      </c>
      <c r="C698" s="4"/>
      <c r="D698" s="8"/>
      <c r="E698" s="4"/>
      <c r="F698" s="8"/>
      <c r="G698" s="4"/>
      <c r="H698" s="8"/>
      <c r="I698" s="4"/>
    </row>
    <row r="699" spans="1:9" x14ac:dyDescent="0.2">
      <c r="A699" s="2">
        <v>1</v>
      </c>
      <c r="B699" s="1" t="s">
        <v>169</v>
      </c>
      <c r="C699" s="4">
        <v>50</v>
      </c>
      <c r="D699" s="8">
        <v>3.43</v>
      </c>
      <c r="E699" s="4">
        <v>43</v>
      </c>
      <c r="F699" s="8">
        <v>6.86</v>
      </c>
      <c r="G699" s="4">
        <v>7</v>
      </c>
      <c r="H699" s="8">
        <v>0.84</v>
      </c>
      <c r="I699" s="4">
        <v>0</v>
      </c>
    </row>
    <row r="700" spans="1:9" x14ac:dyDescent="0.2">
      <c r="A700" s="2">
        <v>2</v>
      </c>
      <c r="B700" s="1" t="s">
        <v>171</v>
      </c>
      <c r="C700" s="4">
        <v>46</v>
      </c>
      <c r="D700" s="8">
        <v>3.16</v>
      </c>
      <c r="E700" s="4">
        <v>43</v>
      </c>
      <c r="F700" s="8">
        <v>6.86</v>
      </c>
      <c r="G700" s="4">
        <v>3</v>
      </c>
      <c r="H700" s="8">
        <v>0.36</v>
      </c>
      <c r="I700" s="4">
        <v>0</v>
      </c>
    </row>
    <row r="701" spans="1:9" x14ac:dyDescent="0.2">
      <c r="A701" s="2">
        <v>3</v>
      </c>
      <c r="B701" s="1" t="s">
        <v>159</v>
      </c>
      <c r="C701" s="4">
        <v>42</v>
      </c>
      <c r="D701" s="8">
        <v>2.88</v>
      </c>
      <c r="E701" s="4">
        <v>2</v>
      </c>
      <c r="F701" s="8">
        <v>0.32</v>
      </c>
      <c r="G701" s="4">
        <v>40</v>
      </c>
      <c r="H701" s="8">
        <v>4.8099999999999996</v>
      </c>
      <c r="I701" s="4">
        <v>0</v>
      </c>
    </row>
    <row r="702" spans="1:9" x14ac:dyDescent="0.2">
      <c r="A702" s="2">
        <v>4</v>
      </c>
      <c r="B702" s="1" t="s">
        <v>160</v>
      </c>
      <c r="C702" s="4">
        <v>40</v>
      </c>
      <c r="D702" s="8">
        <v>2.74</v>
      </c>
      <c r="E702" s="4">
        <v>0</v>
      </c>
      <c r="F702" s="8">
        <v>0</v>
      </c>
      <c r="G702" s="4">
        <v>40</v>
      </c>
      <c r="H702" s="8">
        <v>4.8099999999999996</v>
      </c>
      <c r="I702" s="4">
        <v>0</v>
      </c>
    </row>
    <row r="703" spans="1:9" x14ac:dyDescent="0.2">
      <c r="A703" s="2">
        <v>5</v>
      </c>
      <c r="B703" s="1" t="s">
        <v>190</v>
      </c>
      <c r="C703" s="4">
        <v>39</v>
      </c>
      <c r="D703" s="8">
        <v>2.67</v>
      </c>
      <c r="E703" s="4">
        <v>8</v>
      </c>
      <c r="F703" s="8">
        <v>1.28</v>
      </c>
      <c r="G703" s="4">
        <v>31</v>
      </c>
      <c r="H703" s="8">
        <v>3.73</v>
      </c>
      <c r="I703" s="4">
        <v>0</v>
      </c>
    </row>
    <row r="704" spans="1:9" x14ac:dyDescent="0.2">
      <c r="A704" s="2">
        <v>6</v>
      </c>
      <c r="B704" s="1" t="s">
        <v>215</v>
      </c>
      <c r="C704" s="4">
        <v>35</v>
      </c>
      <c r="D704" s="8">
        <v>2.4</v>
      </c>
      <c r="E704" s="4">
        <v>27</v>
      </c>
      <c r="F704" s="8">
        <v>4.3099999999999996</v>
      </c>
      <c r="G704" s="4">
        <v>8</v>
      </c>
      <c r="H704" s="8">
        <v>0.96</v>
      </c>
      <c r="I704" s="4">
        <v>0</v>
      </c>
    </row>
    <row r="705" spans="1:9" x14ac:dyDescent="0.2">
      <c r="A705" s="2">
        <v>6</v>
      </c>
      <c r="B705" s="1" t="s">
        <v>198</v>
      </c>
      <c r="C705" s="4">
        <v>35</v>
      </c>
      <c r="D705" s="8">
        <v>2.4</v>
      </c>
      <c r="E705" s="4">
        <v>34</v>
      </c>
      <c r="F705" s="8">
        <v>5.42</v>
      </c>
      <c r="G705" s="4">
        <v>1</v>
      </c>
      <c r="H705" s="8">
        <v>0.12</v>
      </c>
      <c r="I705" s="4">
        <v>0</v>
      </c>
    </row>
    <row r="706" spans="1:9" x14ac:dyDescent="0.2">
      <c r="A706" s="2">
        <v>8</v>
      </c>
      <c r="B706" s="1" t="s">
        <v>210</v>
      </c>
      <c r="C706" s="4">
        <v>32</v>
      </c>
      <c r="D706" s="8">
        <v>2.19</v>
      </c>
      <c r="E706" s="4">
        <v>5</v>
      </c>
      <c r="F706" s="8">
        <v>0.8</v>
      </c>
      <c r="G706" s="4">
        <v>27</v>
      </c>
      <c r="H706" s="8">
        <v>3.25</v>
      </c>
      <c r="I706" s="4">
        <v>0</v>
      </c>
    </row>
    <row r="707" spans="1:9" x14ac:dyDescent="0.2">
      <c r="A707" s="2">
        <v>8</v>
      </c>
      <c r="B707" s="1" t="s">
        <v>174</v>
      </c>
      <c r="C707" s="4">
        <v>32</v>
      </c>
      <c r="D707" s="8">
        <v>2.19</v>
      </c>
      <c r="E707" s="4">
        <v>5</v>
      </c>
      <c r="F707" s="8">
        <v>0.8</v>
      </c>
      <c r="G707" s="4">
        <v>27</v>
      </c>
      <c r="H707" s="8">
        <v>3.25</v>
      </c>
      <c r="I707" s="4">
        <v>0</v>
      </c>
    </row>
    <row r="708" spans="1:9" x14ac:dyDescent="0.2">
      <c r="A708" s="2">
        <v>10</v>
      </c>
      <c r="B708" s="1" t="s">
        <v>212</v>
      </c>
      <c r="C708" s="4">
        <v>31</v>
      </c>
      <c r="D708" s="8">
        <v>2.13</v>
      </c>
      <c r="E708" s="4">
        <v>31</v>
      </c>
      <c r="F708" s="8">
        <v>4.9400000000000004</v>
      </c>
      <c r="G708" s="4">
        <v>0</v>
      </c>
      <c r="H708" s="8">
        <v>0</v>
      </c>
      <c r="I708" s="4">
        <v>0</v>
      </c>
    </row>
    <row r="709" spans="1:9" x14ac:dyDescent="0.2">
      <c r="A709" s="2">
        <v>11</v>
      </c>
      <c r="B709" s="1" t="s">
        <v>170</v>
      </c>
      <c r="C709" s="4">
        <v>29</v>
      </c>
      <c r="D709" s="8">
        <v>1.99</v>
      </c>
      <c r="E709" s="4">
        <v>21</v>
      </c>
      <c r="F709" s="8">
        <v>3.35</v>
      </c>
      <c r="G709" s="4">
        <v>8</v>
      </c>
      <c r="H709" s="8">
        <v>0.96</v>
      </c>
      <c r="I709" s="4">
        <v>0</v>
      </c>
    </row>
    <row r="710" spans="1:9" x14ac:dyDescent="0.2">
      <c r="A710" s="2">
        <v>12</v>
      </c>
      <c r="B710" s="1" t="s">
        <v>168</v>
      </c>
      <c r="C710" s="4">
        <v>27</v>
      </c>
      <c r="D710" s="8">
        <v>1.85</v>
      </c>
      <c r="E710" s="4">
        <v>26</v>
      </c>
      <c r="F710" s="8">
        <v>4.1500000000000004</v>
      </c>
      <c r="G710" s="4">
        <v>1</v>
      </c>
      <c r="H710" s="8">
        <v>0.12</v>
      </c>
      <c r="I710" s="4">
        <v>0</v>
      </c>
    </row>
    <row r="711" spans="1:9" x14ac:dyDescent="0.2">
      <c r="A711" s="2">
        <v>13</v>
      </c>
      <c r="B711" s="1" t="s">
        <v>155</v>
      </c>
      <c r="C711" s="4">
        <v>26</v>
      </c>
      <c r="D711" s="8">
        <v>1.78</v>
      </c>
      <c r="E711" s="4">
        <v>10</v>
      </c>
      <c r="F711" s="8">
        <v>1.59</v>
      </c>
      <c r="G711" s="4">
        <v>16</v>
      </c>
      <c r="H711" s="8">
        <v>1.93</v>
      </c>
      <c r="I711" s="4">
        <v>0</v>
      </c>
    </row>
    <row r="712" spans="1:9" x14ac:dyDescent="0.2">
      <c r="A712" s="2">
        <v>14</v>
      </c>
      <c r="B712" s="1" t="s">
        <v>157</v>
      </c>
      <c r="C712" s="4">
        <v>25</v>
      </c>
      <c r="D712" s="8">
        <v>1.71</v>
      </c>
      <c r="E712" s="4">
        <v>10</v>
      </c>
      <c r="F712" s="8">
        <v>1.59</v>
      </c>
      <c r="G712" s="4">
        <v>15</v>
      </c>
      <c r="H712" s="8">
        <v>1.81</v>
      </c>
      <c r="I712" s="4">
        <v>0</v>
      </c>
    </row>
    <row r="713" spans="1:9" x14ac:dyDescent="0.2">
      <c r="A713" s="2">
        <v>15</v>
      </c>
      <c r="B713" s="1" t="s">
        <v>167</v>
      </c>
      <c r="C713" s="4">
        <v>24</v>
      </c>
      <c r="D713" s="8">
        <v>1.65</v>
      </c>
      <c r="E713" s="4">
        <v>17</v>
      </c>
      <c r="F713" s="8">
        <v>2.71</v>
      </c>
      <c r="G713" s="4">
        <v>7</v>
      </c>
      <c r="H713" s="8">
        <v>0.84</v>
      </c>
      <c r="I713" s="4">
        <v>0</v>
      </c>
    </row>
    <row r="714" spans="1:9" x14ac:dyDescent="0.2">
      <c r="A714" s="2">
        <v>16</v>
      </c>
      <c r="B714" s="1" t="s">
        <v>165</v>
      </c>
      <c r="C714" s="4">
        <v>21</v>
      </c>
      <c r="D714" s="8">
        <v>1.44</v>
      </c>
      <c r="E714" s="4">
        <v>19</v>
      </c>
      <c r="F714" s="8">
        <v>3.03</v>
      </c>
      <c r="G714" s="4">
        <v>2</v>
      </c>
      <c r="H714" s="8">
        <v>0.24</v>
      </c>
      <c r="I714" s="4">
        <v>0</v>
      </c>
    </row>
    <row r="715" spans="1:9" x14ac:dyDescent="0.2">
      <c r="A715" s="2">
        <v>17</v>
      </c>
      <c r="B715" s="1" t="s">
        <v>162</v>
      </c>
      <c r="C715" s="4">
        <v>20</v>
      </c>
      <c r="D715" s="8">
        <v>1.37</v>
      </c>
      <c r="E715" s="4">
        <v>1</v>
      </c>
      <c r="F715" s="8">
        <v>0.16</v>
      </c>
      <c r="G715" s="4">
        <v>19</v>
      </c>
      <c r="H715" s="8">
        <v>2.29</v>
      </c>
      <c r="I715" s="4">
        <v>0</v>
      </c>
    </row>
    <row r="716" spans="1:9" x14ac:dyDescent="0.2">
      <c r="A716" s="2">
        <v>18</v>
      </c>
      <c r="B716" s="1" t="s">
        <v>156</v>
      </c>
      <c r="C716" s="4">
        <v>19</v>
      </c>
      <c r="D716" s="8">
        <v>1.3</v>
      </c>
      <c r="E716" s="4">
        <v>9</v>
      </c>
      <c r="F716" s="8">
        <v>1.44</v>
      </c>
      <c r="G716" s="4">
        <v>10</v>
      </c>
      <c r="H716" s="8">
        <v>1.2</v>
      </c>
      <c r="I716" s="4">
        <v>0</v>
      </c>
    </row>
    <row r="717" spans="1:9" x14ac:dyDescent="0.2">
      <c r="A717" s="2">
        <v>18</v>
      </c>
      <c r="B717" s="1" t="s">
        <v>195</v>
      </c>
      <c r="C717" s="4">
        <v>19</v>
      </c>
      <c r="D717" s="8">
        <v>1.3</v>
      </c>
      <c r="E717" s="4">
        <v>8</v>
      </c>
      <c r="F717" s="8">
        <v>1.28</v>
      </c>
      <c r="G717" s="4">
        <v>11</v>
      </c>
      <c r="H717" s="8">
        <v>1.32</v>
      </c>
      <c r="I717" s="4">
        <v>0</v>
      </c>
    </row>
    <row r="718" spans="1:9" x14ac:dyDescent="0.2">
      <c r="A718" s="2">
        <v>18</v>
      </c>
      <c r="B718" s="1" t="s">
        <v>176</v>
      </c>
      <c r="C718" s="4">
        <v>19</v>
      </c>
      <c r="D718" s="8">
        <v>1.3</v>
      </c>
      <c r="E718" s="4">
        <v>7</v>
      </c>
      <c r="F718" s="8">
        <v>1.1200000000000001</v>
      </c>
      <c r="G718" s="4">
        <v>12</v>
      </c>
      <c r="H718" s="8">
        <v>1.44</v>
      </c>
      <c r="I718" s="4">
        <v>0</v>
      </c>
    </row>
    <row r="719" spans="1:9" x14ac:dyDescent="0.2">
      <c r="A719" s="2">
        <v>18</v>
      </c>
      <c r="B719" s="1" t="s">
        <v>188</v>
      </c>
      <c r="C719" s="4">
        <v>19</v>
      </c>
      <c r="D719" s="8">
        <v>1.3</v>
      </c>
      <c r="E719" s="4">
        <v>0</v>
      </c>
      <c r="F719" s="8">
        <v>0</v>
      </c>
      <c r="G719" s="4">
        <v>19</v>
      </c>
      <c r="H719" s="8">
        <v>2.29</v>
      </c>
      <c r="I719" s="4">
        <v>0</v>
      </c>
    </row>
    <row r="720" spans="1:9" x14ac:dyDescent="0.2">
      <c r="A720" s="1"/>
      <c r="C720" s="4"/>
      <c r="D720" s="8"/>
      <c r="E720" s="4"/>
      <c r="F720" s="8"/>
      <c r="G720" s="4"/>
      <c r="H720" s="8"/>
      <c r="I720" s="4"/>
    </row>
    <row r="721" spans="1:9" x14ac:dyDescent="0.2">
      <c r="A721" s="1" t="s">
        <v>32</v>
      </c>
      <c r="C721" s="4"/>
      <c r="D721" s="8"/>
      <c r="E721" s="4"/>
      <c r="F721" s="8"/>
      <c r="G721" s="4"/>
      <c r="H721" s="8"/>
      <c r="I721" s="4"/>
    </row>
    <row r="722" spans="1:9" x14ac:dyDescent="0.2">
      <c r="A722" s="2">
        <v>1</v>
      </c>
      <c r="B722" s="1" t="s">
        <v>169</v>
      </c>
      <c r="C722" s="4">
        <v>151</v>
      </c>
      <c r="D722" s="8">
        <v>5.88</v>
      </c>
      <c r="E722" s="4">
        <v>137</v>
      </c>
      <c r="F722" s="8">
        <v>11.38</v>
      </c>
      <c r="G722" s="4">
        <v>14</v>
      </c>
      <c r="H722" s="8">
        <v>1.03</v>
      </c>
      <c r="I722" s="4">
        <v>0</v>
      </c>
    </row>
    <row r="723" spans="1:9" x14ac:dyDescent="0.2">
      <c r="A723" s="2">
        <v>2</v>
      </c>
      <c r="B723" s="1" t="s">
        <v>160</v>
      </c>
      <c r="C723" s="4">
        <v>120</v>
      </c>
      <c r="D723" s="8">
        <v>4.68</v>
      </c>
      <c r="E723" s="4">
        <v>18</v>
      </c>
      <c r="F723" s="8">
        <v>1.5</v>
      </c>
      <c r="G723" s="4">
        <v>102</v>
      </c>
      <c r="H723" s="8">
        <v>7.49</v>
      </c>
      <c r="I723" s="4">
        <v>0</v>
      </c>
    </row>
    <row r="724" spans="1:9" x14ac:dyDescent="0.2">
      <c r="A724" s="2">
        <v>3</v>
      </c>
      <c r="B724" s="1" t="s">
        <v>171</v>
      </c>
      <c r="C724" s="4">
        <v>99</v>
      </c>
      <c r="D724" s="8">
        <v>3.86</v>
      </c>
      <c r="E724" s="4">
        <v>85</v>
      </c>
      <c r="F724" s="8">
        <v>7.06</v>
      </c>
      <c r="G724" s="4">
        <v>14</v>
      </c>
      <c r="H724" s="8">
        <v>1.03</v>
      </c>
      <c r="I724" s="4">
        <v>0</v>
      </c>
    </row>
    <row r="725" spans="1:9" x14ac:dyDescent="0.2">
      <c r="A725" s="2">
        <v>4</v>
      </c>
      <c r="B725" s="1" t="s">
        <v>162</v>
      </c>
      <c r="C725" s="4">
        <v>74</v>
      </c>
      <c r="D725" s="8">
        <v>2.88</v>
      </c>
      <c r="E725" s="4">
        <v>3</v>
      </c>
      <c r="F725" s="8">
        <v>0.25</v>
      </c>
      <c r="G725" s="4">
        <v>71</v>
      </c>
      <c r="H725" s="8">
        <v>5.22</v>
      </c>
      <c r="I725" s="4">
        <v>0</v>
      </c>
    </row>
    <row r="726" spans="1:9" x14ac:dyDescent="0.2">
      <c r="A726" s="2">
        <v>5</v>
      </c>
      <c r="B726" s="1" t="s">
        <v>165</v>
      </c>
      <c r="C726" s="4">
        <v>70</v>
      </c>
      <c r="D726" s="8">
        <v>2.73</v>
      </c>
      <c r="E726" s="4">
        <v>64</v>
      </c>
      <c r="F726" s="8">
        <v>5.32</v>
      </c>
      <c r="G726" s="4">
        <v>6</v>
      </c>
      <c r="H726" s="8">
        <v>0.44</v>
      </c>
      <c r="I726" s="4">
        <v>0</v>
      </c>
    </row>
    <row r="727" spans="1:9" x14ac:dyDescent="0.2">
      <c r="A727" s="2">
        <v>5</v>
      </c>
      <c r="B727" s="1" t="s">
        <v>168</v>
      </c>
      <c r="C727" s="4">
        <v>70</v>
      </c>
      <c r="D727" s="8">
        <v>2.73</v>
      </c>
      <c r="E727" s="4">
        <v>67</v>
      </c>
      <c r="F727" s="8">
        <v>5.56</v>
      </c>
      <c r="G727" s="4">
        <v>3</v>
      </c>
      <c r="H727" s="8">
        <v>0.22</v>
      </c>
      <c r="I727" s="4">
        <v>0</v>
      </c>
    </row>
    <row r="728" spans="1:9" x14ac:dyDescent="0.2">
      <c r="A728" s="2">
        <v>7</v>
      </c>
      <c r="B728" s="1" t="s">
        <v>167</v>
      </c>
      <c r="C728" s="4">
        <v>69</v>
      </c>
      <c r="D728" s="8">
        <v>2.69</v>
      </c>
      <c r="E728" s="4">
        <v>66</v>
      </c>
      <c r="F728" s="8">
        <v>5.48</v>
      </c>
      <c r="G728" s="4">
        <v>3</v>
      </c>
      <c r="H728" s="8">
        <v>0.22</v>
      </c>
      <c r="I728" s="4">
        <v>0</v>
      </c>
    </row>
    <row r="729" spans="1:9" x14ac:dyDescent="0.2">
      <c r="A729" s="2">
        <v>8</v>
      </c>
      <c r="B729" s="1" t="s">
        <v>159</v>
      </c>
      <c r="C729" s="4">
        <v>60</v>
      </c>
      <c r="D729" s="8">
        <v>2.34</v>
      </c>
      <c r="E729" s="4">
        <v>2</v>
      </c>
      <c r="F729" s="8">
        <v>0.17</v>
      </c>
      <c r="G729" s="4">
        <v>58</v>
      </c>
      <c r="H729" s="8">
        <v>4.26</v>
      </c>
      <c r="I729" s="4">
        <v>0</v>
      </c>
    </row>
    <row r="730" spans="1:9" x14ac:dyDescent="0.2">
      <c r="A730" s="2">
        <v>9</v>
      </c>
      <c r="B730" s="1" t="s">
        <v>152</v>
      </c>
      <c r="C730" s="4">
        <v>55</v>
      </c>
      <c r="D730" s="8">
        <v>2.14</v>
      </c>
      <c r="E730" s="4">
        <v>4</v>
      </c>
      <c r="F730" s="8">
        <v>0.33</v>
      </c>
      <c r="G730" s="4">
        <v>51</v>
      </c>
      <c r="H730" s="8">
        <v>3.75</v>
      </c>
      <c r="I730" s="4">
        <v>0</v>
      </c>
    </row>
    <row r="731" spans="1:9" x14ac:dyDescent="0.2">
      <c r="A731" s="2">
        <v>10</v>
      </c>
      <c r="B731" s="1" t="s">
        <v>164</v>
      </c>
      <c r="C731" s="4">
        <v>52</v>
      </c>
      <c r="D731" s="8">
        <v>2.0299999999999998</v>
      </c>
      <c r="E731" s="4">
        <v>45</v>
      </c>
      <c r="F731" s="8">
        <v>3.74</v>
      </c>
      <c r="G731" s="4">
        <v>7</v>
      </c>
      <c r="H731" s="8">
        <v>0.51</v>
      </c>
      <c r="I731" s="4">
        <v>0</v>
      </c>
    </row>
    <row r="732" spans="1:9" x14ac:dyDescent="0.2">
      <c r="A732" s="2">
        <v>10</v>
      </c>
      <c r="B732" s="1" t="s">
        <v>170</v>
      </c>
      <c r="C732" s="4">
        <v>52</v>
      </c>
      <c r="D732" s="8">
        <v>2.0299999999999998</v>
      </c>
      <c r="E732" s="4">
        <v>44</v>
      </c>
      <c r="F732" s="8">
        <v>3.65</v>
      </c>
      <c r="G732" s="4">
        <v>8</v>
      </c>
      <c r="H732" s="8">
        <v>0.59</v>
      </c>
      <c r="I732" s="4">
        <v>0</v>
      </c>
    </row>
    <row r="733" spans="1:9" x14ac:dyDescent="0.2">
      <c r="A733" s="2">
        <v>12</v>
      </c>
      <c r="B733" s="1" t="s">
        <v>153</v>
      </c>
      <c r="C733" s="4">
        <v>45</v>
      </c>
      <c r="D733" s="8">
        <v>1.75</v>
      </c>
      <c r="E733" s="4">
        <v>12</v>
      </c>
      <c r="F733" s="8">
        <v>1</v>
      </c>
      <c r="G733" s="4">
        <v>33</v>
      </c>
      <c r="H733" s="8">
        <v>2.42</v>
      </c>
      <c r="I733" s="4">
        <v>0</v>
      </c>
    </row>
    <row r="734" spans="1:9" x14ac:dyDescent="0.2">
      <c r="A734" s="2">
        <v>13</v>
      </c>
      <c r="B734" s="1" t="s">
        <v>158</v>
      </c>
      <c r="C734" s="4">
        <v>41</v>
      </c>
      <c r="D734" s="8">
        <v>1.6</v>
      </c>
      <c r="E734" s="4">
        <v>9</v>
      </c>
      <c r="F734" s="8">
        <v>0.75</v>
      </c>
      <c r="G734" s="4">
        <v>32</v>
      </c>
      <c r="H734" s="8">
        <v>2.35</v>
      </c>
      <c r="I734" s="4">
        <v>0</v>
      </c>
    </row>
    <row r="735" spans="1:9" x14ac:dyDescent="0.2">
      <c r="A735" s="2">
        <v>14</v>
      </c>
      <c r="B735" s="1" t="s">
        <v>215</v>
      </c>
      <c r="C735" s="4">
        <v>38</v>
      </c>
      <c r="D735" s="8">
        <v>1.48</v>
      </c>
      <c r="E735" s="4">
        <v>21</v>
      </c>
      <c r="F735" s="8">
        <v>1.74</v>
      </c>
      <c r="G735" s="4">
        <v>17</v>
      </c>
      <c r="H735" s="8">
        <v>1.25</v>
      </c>
      <c r="I735" s="4">
        <v>0</v>
      </c>
    </row>
    <row r="736" spans="1:9" x14ac:dyDescent="0.2">
      <c r="A736" s="2">
        <v>14</v>
      </c>
      <c r="B736" s="1" t="s">
        <v>199</v>
      </c>
      <c r="C736" s="4">
        <v>38</v>
      </c>
      <c r="D736" s="8">
        <v>1.48</v>
      </c>
      <c r="E736" s="4">
        <v>25</v>
      </c>
      <c r="F736" s="8">
        <v>2.08</v>
      </c>
      <c r="G736" s="4">
        <v>13</v>
      </c>
      <c r="H736" s="8">
        <v>0.96</v>
      </c>
      <c r="I736" s="4">
        <v>0</v>
      </c>
    </row>
    <row r="737" spans="1:9" x14ac:dyDescent="0.2">
      <c r="A737" s="2">
        <v>16</v>
      </c>
      <c r="B737" s="1" t="s">
        <v>211</v>
      </c>
      <c r="C737" s="4">
        <v>33</v>
      </c>
      <c r="D737" s="8">
        <v>1.29</v>
      </c>
      <c r="E737" s="4">
        <v>29</v>
      </c>
      <c r="F737" s="8">
        <v>2.41</v>
      </c>
      <c r="G737" s="4">
        <v>4</v>
      </c>
      <c r="H737" s="8">
        <v>0.28999999999999998</v>
      </c>
      <c r="I737" s="4">
        <v>0</v>
      </c>
    </row>
    <row r="738" spans="1:9" x14ac:dyDescent="0.2">
      <c r="A738" s="2">
        <v>17</v>
      </c>
      <c r="B738" s="1" t="s">
        <v>218</v>
      </c>
      <c r="C738" s="4">
        <v>31</v>
      </c>
      <c r="D738" s="8">
        <v>1.21</v>
      </c>
      <c r="E738" s="4">
        <v>4</v>
      </c>
      <c r="F738" s="8">
        <v>0.33</v>
      </c>
      <c r="G738" s="4">
        <v>27</v>
      </c>
      <c r="H738" s="8">
        <v>1.98</v>
      </c>
      <c r="I738" s="4">
        <v>0</v>
      </c>
    </row>
    <row r="739" spans="1:9" x14ac:dyDescent="0.2">
      <c r="A739" s="2">
        <v>18</v>
      </c>
      <c r="B739" s="1" t="s">
        <v>191</v>
      </c>
      <c r="C739" s="4">
        <v>29</v>
      </c>
      <c r="D739" s="8">
        <v>1.1299999999999999</v>
      </c>
      <c r="E739" s="4">
        <v>3</v>
      </c>
      <c r="F739" s="8">
        <v>0.25</v>
      </c>
      <c r="G739" s="4">
        <v>26</v>
      </c>
      <c r="H739" s="8">
        <v>1.91</v>
      </c>
      <c r="I739" s="4">
        <v>0</v>
      </c>
    </row>
    <row r="740" spans="1:9" x14ac:dyDescent="0.2">
      <c r="A740" s="2">
        <v>18</v>
      </c>
      <c r="B740" s="1" t="s">
        <v>176</v>
      </c>
      <c r="C740" s="4">
        <v>29</v>
      </c>
      <c r="D740" s="8">
        <v>1.1299999999999999</v>
      </c>
      <c r="E740" s="4">
        <v>16</v>
      </c>
      <c r="F740" s="8">
        <v>1.33</v>
      </c>
      <c r="G740" s="4">
        <v>13</v>
      </c>
      <c r="H740" s="8">
        <v>0.96</v>
      </c>
      <c r="I740" s="4">
        <v>0</v>
      </c>
    </row>
    <row r="741" spans="1:9" x14ac:dyDescent="0.2">
      <c r="A741" s="2">
        <v>18</v>
      </c>
      <c r="B741" s="1" t="s">
        <v>157</v>
      </c>
      <c r="C741" s="4">
        <v>29</v>
      </c>
      <c r="D741" s="8">
        <v>1.1299999999999999</v>
      </c>
      <c r="E741" s="4">
        <v>23</v>
      </c>
      <c r="F741" s="8">
        <v>1.91</v>
      </c>
      <c r="G741" s="4">
        <v>6</v>
      </c>
      <c r="H741" s="8">
        <v>0.44</v>
      </c>
      <c r="I741" s="4">
        <v>0</v>
      </c>
    </row>
    <row r="742" spans="1:9" x14ac:dyDescent="0.2">
      <c r="A742" s="2">
        <v>18</v>
      </c>
      <c r="B742" s="1" t="s">
        <v>196</v>
      </c>
      <c r="C742" s="4">
        <v>29</v>
      </c>
      <c r="D742" s="8">
        <v>1.1299999999999999</v>
      </c>
      <c r="E742" s="4">
        <v>9</v>
      </c>
      <c r="F742" s="8">
        <v>0.75</v>
      </c>
      <c r="G742" s="4">
        <v>20</v>
      </c>
      <c r="H742" s="8">
        <v>1.47</v>
      </c>
      <c r="I742" s="4">
        <v>0</v>
      </c>
    </row>
    <row r="743" spans="1:9" x14ac:dyDescent="0.2">
      <c r="A743" s="1"/>
      <c r="C743" s="4"/>
      <c r="D743" s="8"/>
      <c r="E743" s="4"/>
      <c r="F743" s="8"/>
      <c r="G743" s="4"/>
      <c r="H743" s="8"/>
      <c r="I743" s="4"/>
    </row>
    <row r="744" spans="1:9" x14ac:dyDescent="0.2">
      <c r="A744" s="1" t="s">
        <v>33</v>
      </c>
      <c r="C744" s="4"/>
      <c r="D744" s="8"/>
      <c r="E744" s="4"/>
      <c r="F744" s="8"/>
      <c r="G744" s="4"/>
      <c r="H744" s="8"/>
      <c r="I744" s="4"/>
    </row>
    <row r="745" spans="1:9" x14ac:dyDescent="0.2">
      <c r="A745" s="2">
        <v>1</v>
      </c>
      <c r="B745" s="1" t="s">
        <v>159</v>
      </c>
      <c r="C745" s="4">
        <v>74</v>
      </c>
      <c r="D745" s="8">
        <v>7.4</v>
      </c>
      <c r="E745" s="4">
        <v>32</v>
      </c>
      <c r="F745" s="8">
        <v>8.65</v>
      </c>
      <c r="G745" s="4">
        <v>42</v>
      </c>
      <c r="H745" s="8">
        <v>6.72</v>
      </c>
      <c r="I745" s="4">
        <v>0</v>
      </c>
    </row>
    <row r="746" spans="1:9" x14ac:dyDescent="0.2">
      <c r="A746" s="2">
        <v>2</v>
      </c>
      <c r="B746" s="1" t="s">
        <v>160</v>
      </c>
      <c r="C746" s="4">
        <v>40</v>
      </c>
      <c r="D746" s="8">
        <v>4</v>
      </c>
      <c r="E746" s="4">
        <v>21</v>
      </c>
      <c r="F746" s="8">
        <v>5.68</v>
      </c>
      <c r="G746" s="4">
        <v>19</v>
      </c>
      <c r="H746" s="8">
        <v>3.04</v>
      </c>
      <c r="I746" s="4">
        <v>0</v>
      </c>
    </row>
    <row r="747" spans="1:9" x14ac:dyDescent="0.2">
      <c r="A747" s="2">
        <v>3</v>
      </c>
      <c r="B747" s="1" t="s">
        <v>161</v>
      </c>
      <c r="C747" s="4">
        <v>39</v>
      </c>
      <c r="D747" s="8">
        <v>3.9</v>
      </c>
      <c r="E747" s="4">
        <v>36</v>
      </c>
      <c r="F747" s="8">
        <v>9.73</v>
      </c>
      <c r="G747" s="4">
        <v>3</v>
      </c>
      <c r="H747" s="8">
        <v>0.48</v>
      </c>
      <c r="I747" s="4">
        <v>0</v>
      </c>
    </row>
    <row r="748" spans="1:9" x14ac:dyDescent="0.2">
      <c r="A748" s="2">
        <v>4</v>
      </c>
      <c r="B748" s="1" t="s">
        <v>192</v>
      </c>
      <c r="C748" s="4">
        <v>33</v>
      </c>
      <c r="D748" s="8">
        <v>3.3</v>
      </c>
      <c r="E748" s="4">
        <v>9</v>
      </c>
      <c r="F748" s="8">
        <v>2.4300000000000002</v>
      </c>
      <c r="G748" s="4">
        <v>24</v>
      </c>
      <c r="H748" s="8">
        <v>3.84</v>
      </c>
      <c r="I748" s="4">
        <v>0</v>
      </c>
    </row>
    <row r="749" spans="1:9" x14ac:dyDescent="0.2">
      <c r="A749" s="2">
        <v>5</v>
      </c>
      <c r="B749" s="1" t="s">
        <v>215</v>
      </c>
      <c r="C749" s="4">
        <v>30</v>
      </c>
      <c r="D749" s="8">
        <v>3</v>
      </c>
      <c r="E749" s="4">
        <v>17</v>
      </c>
      <c r="F749" s="8">
        <v>4.59</v>
      </c>
      <c r="G749" s="4">
        <v>13</v>
      </c>
      <c r="H749" s="8">
        <v>2.08</v>
      </c>
      <c r="I749" s="4">
        <v>0</v>
      </c>
    </row>
    <row r="750" spans="1:9" x14ac:dyDescent="0.2">
      <c r="A750" s="2">
        <v>6</v>
      </c>
      <c r="B750" s="1" t="s">
        <v>152</v>
      </c>
      <c r="C750" s="4">
        <v>26</v>
      </c>
      <c r="D750" s="8">
        <v>2.6</v>
      </c>
      <c r="E750" s="4">
        <v>4</v>
      </c>
      <c r="F750" s="8">
        <v>1.08</v>
      </c>
      <c r="G750" s="4">
        <v>22</v>
      </c>
      <c r="H750" s="8">
        <v>3.52</v>
      </c>
      <c r="I750" s="4">
        <v>0</v>
      </c>
    </row>
    <row r="751" spans="1:9" x14ac:dyDescent="0.2">
      <c r="A751" s="2">
        <v>7</v>
      </c>
      <c r="B751" s="1" t="s">
        <v>190</v>
      </c>
      <c r="C751" s="4">
        <v>25</v>
      </c>
      <c r="D751" s="8">
        <v>2.5</v>
      </c>
      <c r="E751" s="4">
        <v>3</v>
      </c>
      <c r="F751" s="8">
        <v>0.81</v>
      </c>
      <c r="G751" s="4">
        <v>22</v>
      </c>
      <c r="H751" s="8">
        <v>3.52</v>
      </c>
      <c r="I751" s="4">
        <v>0</v>
      </c>
    </row>
    <row r="752" spans="1:9" x14ac:dyDescent="0.2">
      <c r="A752" s="2">
        <v>8</v>
      </c>
      <c r="B752" s="1" t="s">
        <v>227</v>
      </c>
      <c r="C752" s="4">
        <v>23</v>
      </c>
      <c r="D752" s="8">
        <v>2.2999999999999998</v>
      </c>
      <c r="E752" s="4">
        <v>6</v>
      </c>
      <c r="F752" s="8">
        <v>1.62</v>
      </c>
      <c r="G752" s="4">
        <v>17</v>
      </c>
      <c r="H752" s="8">
        <v>2.72</v>
      </c>
      <c r="I752" s="4">
        <v>0</v>
      </c>
    </row>
    <row r="753" spans="1:9" x14ac:dyDescent="0.2">
      <c r="A753" s="2">
        <v>9</v>
      </c>
      <c r="B753" s="1" t="s">
        <v>153</v>
      </c>
      <c r="C753" s="4">
        <v>21</v>
      </c>
      <c r="D753" s="8">
        <v>2.1</v>
      </c>
      <c r="E753" s="4">
        <v>5</v>
      </c>
      <c r="F753" s="8">
        <v>1.35</v>
      </c>
      <c r="G753" s="4">
        <v>16</v>
      </c>
      <c r="H753" s="8">
        <v>2.56</v>
      </c>
      <c r="I753" s="4">
        <v>0</v>
      </c>
    </row>
    <row r="754" spans="1:9" x14ac:dyDescent="0.2">
      <c r="A754" s="2">
        <v>10</v>
      </c>
      <c r="B754" s="1" t="s">
        <v>198</v>
      </c>
      <c r="C754" s="4">
        <v>19</v>
      </c>
      <c r="D754" s="8">
        <v>1.9</v>
      </c>
      <c r="E754" s="4">
        <v>14</v>
      </c>
      <c r="F754" s="8">
        <v>3.78</v>
      </c>
      <c r="G754" s="4">
        <v>5</v>
      </c>
      <c r="H754" s="8">
        <v>0.8</v>
      </c>
      <c r="I754" s="4">
        <v>0</v>
      </c>
    </row>
    <row r="755" spans="1:9" x14ac:dyDescent="0.2">
      <c r="A755" s="2">
        <v>11</v>
      </c>
      <c r="B755" s="1" t="s">
        <v>174</v>
      </c>
      <c r="C755" s="4">
        <v>18</v>
      </c>
      <c r="D755" s="8">
        <v>1.8</v>
      </c>
      <c r="E755" s="4">
        <v>7</v>
      </c>
      <c r="F755" s="8">
        <v>1.89</v>
      </c>
      <c r="G755" s="4">
        <v>11</v>
      </c>
      <c r="H755" s="8">
        <v>1.76</v>
      </c>
      <c r="I755" s="4">
        <v>0</v>
      </c>
    </row>
    <row r="756" spans="1:9" x14ac:dyDescent="0.2">
      <c r="A756" s="2">
        <v>11</v>
      </c>
      <c r="B756" s="1" t="s">
        <v>167</v>
      </c>
      <c r="C756" s="4">
        <v>18</v>
      </c>
      <c r="D756" s="8">
        <v>1.8</v>
      </c>
      <c r="E756" s="4">
        <v>16</v>
      </c>
      <c r="F756" s="8">
        <v>4.32</v>
      </c>
      <c r="G756" s="4">
        <v>2</v>
      </c>
      <c r="H756" s="8">
        <v>0.32</v>
      </c>
      <c r="I756" s="4">
        <v>0</v>
      </c>
    </row>
    <row r="757" spans="1:9" x14ac:dyDescent="0.2">
      <c r="A757" s="2">
        <v>13</v>
      </c>
      <c r="B757" s="1" t="s">
        <v>217</v>
      </c>
      <c r="C757" s="4">
        <v>15</v>
      </c>
      <c r="D757" s="8">
        <v>1.5</v>
      </c>
      <c r="E757" s="4">
        <v>3</v>
      </c>
      <c r="F757" s="8">
        <v>0.81</v>
      </c>
      <c r="G757" s="4">
        <v>12</v>
      </c>
      <c r="H757" s="8">
        <v>1.92</v>
      </c>
      <c r="I757" s="4">
        <v>0</v>
      </c>
    </row>
    <row r="758" spans="1:9" x14ac:dyDescent="0.2">
      <c r="A758" s="2">
        <v>14</v>
      </c>
      <c r="B758" s="1" t="s">
        <v>202</v>
      </c>
      <c r="C758" s="4">
        <v>14</v>
      </c>
      <c r="D758" s="8">
        <v>1.4</v>
      </c>
      <c r="E758" s="4">
        <v>2</v>
      </c>
      <c r="F758" s="8">
        <v>0.54</v>
      </c>
      <c r="G758" s="4">
        <v>12</v>
      </c>
      <c r="H758" s="8">
        <v>1.92</v>
      </c>
      <c r="I758" s="4">
        <v>0</v>
      </c>
    </row>
    <row r="759" spans="1:9" x14ac:dyDescent="0.2">
      <c r="A759" s="2">
        <v>15</v>
      </c>
      <c r="B759" s="1" t="s">
        <v>169</v>
      </c>
      <c r="C759" s="4">
        <v>13</v>
      </c>
      <c r="D759" s="8">
        <v>1.3</v>
      </c>
      <c r="E759" s="4">
        <v>13</v>
      </c>
      <c r="F759" s="8">
        <v>3.51</v>
      </c>
      <c r="G759" s="4">
        <v>0</v>
      </c>
      <c r="H759" s="8">
        <v>0</v>
      </c>
      <c r="I759" s="4">
        <v>0</v>
      </c>
    </row>
    <row r="760" spans="1:9" x14ac:dyDescent="0.2">
      <c r="A760" s="2">
        <v>16</v>
      </c>
      <c r="B760" s="1" t="s">
        <v>191</v>
      </c>
      <c r="C760" s="4">
        <v>12</v>
      </c>
      <c r="D760" s="8">
        <v>1.2</v>
      </c>
      <c r="E760" s="4">
        <v>3</v>
      </c>
      <c r="F760" s="8">
        <v>0.81</v>
      </c>
      <c r="G760" s="4">
        <v>9</v>
      </c>
      <c r="H760" s="8">
        <v>1.44</v>
      </c>
      <c r="I760" s="4">
        <v>0</v>
      </c>
    </row>
    <row r="761" spans="1:9" x14ac:dyDescent="0.2">
      <c r="A761" s="2">
        <v>16</v>
      </c>
      <c r="B761" s="1" t="s">
        <v>168</v>
      </c>
      <c r="C761" s="4">
        <v>12</v>
      </c>
      <c r="D761" s="8">
        <v>1.2</v>
      </c>
      <c r="E761" s="4">
        <v>12</v>
      </c>
      <c r="F761" s="8">
        <v>3.24</v>
      </c>
      <c r="G761" s="4">
        <v>0</v>
      </c>
      <c r="H761" s="8">
        <v>0</v>
      </c>
      <c r="I761" s="4">
        <v>0</v>
      </c>
    </row>
    <row r="762" spans="1:9" x14ac:dyDescent="0.2">
      <c r="A762" s="2">
        <v>18</v>
      </c>
      <c r="B762" s="1" t="s">
        <v>224</v>
      </c>
      <c r="C762" s="4">
        <v>11</v>
      </c>
      <c r="D762" s="8">
        <v>1.1000000000000001</v>
      </c>
      <c r="E762" s="4">
        <v>3</v>
      </c>
      <c r="F762" s="8">
        <v>0.81</v>
      </c>
      <c r="G762" s="4">
        <v>8</v>
      </c>
      <c r="H762" s="8">
        <v>1.28</v>
      </c>
      <c r="I762" s="4">
        <v>0</v>
      </c>
    </row>
    <row r="763" spans="1:9" x14ac:dyDescent="0.2">
      <c r="A763" s="2">
        <v>19</v>
      </c>
      <c r="B763" s="1" t="s">
        <v>210</v>
      </c>
      <c r="C763" s="4">
        <v>10</v>
      </c>
      <c r="D763" s="8">
        <v>1</v>
      </c>
      <c r="E763" s="4">
        <v>1</v>
      </c>
      <c r="F763" s="8">
        <v>0.27</v>
      </c>
      <c r="G763" s="4">
        <v>9</v>
      </c>
      <c r="H763" s="8">
        <v>1.44</v>
      </c>
      <c r="I763" s="4">
        <v>0</v>
      </c>
    </row>
    <row r="764" spans="1:9" x14ac:dyDescent="0.2">
      <c r="A764" s="2">
        <v>19</v>
      </c>
      <c r="B764" s="1" t="s">
        <v>225</v>
      </c>
      <c r="C764" s="4">
        <v>10</v>
      </c>
      <c r="D764" s="8">
        <v>1</v>
      </c>
      <c r="E764" s="4">
        <v>0</v>
      </c>
      <c r="F764" s="8">
        <v>0</v>
      </c>
      <c r="G764" s="4">
        <v>10</v>
      </c>
      <c r="H764" s="8">
        <v>1.6</v>
      </c>
      <c r="I764" s="4">
        <v>0</v>
      </c>
    </row>
    <row r="765" spans="1:9" x14ac:dyDescent="0.2">
      <c r="A765" s="2">
        <v>19</v>
      </c>
      <c r="B765" s="1" t="s">
        <v>226</v>
      </c>
      <c r="C765" s="4">
        <v>10</v>
      </c>
      <c r="D765" s="8">
        <v>1</v>
      </c>
      <c r="E765" s="4">
        <v>2</v>
      </c>
      <c r="F765" s="8">
        <v>0.54</v>
      </c>
      <c r="G765" s="4">
        <v>8</v>
      </c>
      <c r="H765" s="8">
        <v>1.28</v>
      </c>
      <c r="I765" s="4">
        <v>0</v>
      </c>
    </row>
    <row r="766" spans="1:9" x14ac:dyDescent="0.2">
      <c r="A766" s="2">
        <v>19</v>
      </c>
      <c r="B766" s="1" t="s">
        <v>228</v>
      </c>
      <c r="C766" s="4">
        <v>10</v>
      </c>
      <c r="D766" s="8">
        <v>1</v>
      </c>
      <c r="E766" s="4">
        <v>7</v>
      </c>
      <c r="F766" s="8">
        <v>1.89</v>
      </c>
      <c r="G766" s="4">
        <v>3</v>
      </c>
      <c r="H766" s="8">
        <v>0.48</v>
      </c>
      <c r="I766" s="4">
        <v>0</v>
      </c>
    </row>
    <row r="767" spans="1:9" x14ac:dyDescent="0.2">
      <c r="A767" s="1"/>
      <c r="C767" s="4"/>
      <c r="D767" s="8"/>
      <c r="E767" s="4"/>
      <c r="F767" s="8"/>
      <c r="G767" s="4"/>
      <c r="H767" s="8"/>
      <c r="I767" s="4"/>
    </row>
    <row r="768" spans="1:9" x14ac:dyDescent="0.2">
      <c r="A768" s="1" t="s">
        <v>34</v>
      </c>
      <c r="C768" s="4"/>
      <c r="D768" s="8"/>
      <c r="E768" s="4"/>
      <c r="F768" s="8"/>
      <c r="G768" s="4"/>
      <c r="H768" s="8"/>
      <c r="I768" s="4"/>
    </row>
    <row r="769" spans="1:9" x14ac:dyDescent="0.2">
      <c r="A769" s="2">
        <v>1</v>
      </c>
      <c r="B769" s="1" t="s">
        <v>169</v>
      </c>
      <c r="C769" s="4">
        <v>177</v>
      </c>
      <c r="D769" s="8">
        <v>4.1500000000000004</v>
      </c>
      <c r="E769" s="4">
        <v>166</v>
      </c>
      <c r="F769" s="8">
        <v>7.27</v>
      </c>
      <c r="G769" s="4">
        <v>11</v>
      </c>
      <c r="H769" s="8">
        <v>0.56999999999999995</v>
      </c>
      <c r="I769" s="4">
        <v>0</v>
      </c>
    </row>
    <row r="770" spans="1:9" x14ac:dyDescent="0.2">
      <c r="A770" s="2">
        <v>2</v>
      </c>
      <c r="B770" s="1" t="s">
        <v>160</v>
      </c>
      <c r="C770" s="4">
        <v>167</v>
      </c>
      <c r="D770" s="8">
        <v>3.92</v>
      </c>
      <c r="E770" s="4">
        <v>43</v>
      </c>
      <c r="F770" s="8">
        <v>1.88</v>
      </c>
      <c r="G770" s="4">
        <v>124</v>
      </c>
      <c r="H770" s="8">
        <v>6.44</v>
      </c>
      <c r="I770" s="4">
        <v>0</v>
      </c>
    </row>
    <row r="771" spans="1:9" x14ac:dyDescent="0.2">
      <c r="A771" s="2">
        <v>3</v>
      </c>
      <c r="B771" s="1" t="s">
        <v>171</v>
      </c>
      <c r="C771" s="4">
        <v>130</v>
      </c>
      <c r="D771" s="8">
        <v>3.05</v>
      </c>
      <c r="E771" s="4">
        <v>115</v>
      </c>
      <c r="F771" s="8">
        <v>5.04</v>
      </c>
      <c r="G771" s="4">
        <v>15</v>
      </c>
      <c r="H771" s="8">
        <v>0.78</v>
      </c>
      <c r="I771" s="4">
        <v>0</v>
      </c>
    </row>
    <row r="772" spans="1:9" x14ac:dyDescent="0.2">
      <c r="A772" s="2">
        <v>4</v>
      </c>
      <c r="B772" s="1" t="s">
        <v>165</v>
      </c>
      <c r="C772" s="4">
        <v>123</v>
      </c>
      <c r="D772" s="8">
        <v>2.89</v>
      </c>
      <c r="E772" s="4">
        <v>117</v>
      </c>
      <c r="F772" s="8">
        <v>5.12</v>
      </c>
      <c r="G772" s="4">
        <v>6</v>
      </c>
      <c r="H772" s="8">
        <v>0.31</v>
      </c>
      <c r="I772" s="4">
        <v>0</v>
      </c>
    </row>
    <row r="773" spans="1:9" x14ac:dyDescent="0.2">
      <c r="A773" s="2">
        <v>5</v>
      </c>
      <c r="B773" s="1" t="s">
        <v>170</v>
      </c>
      <c r="C773" s="4">
        <v>117</v>
      </c>
      <c r="D773" s="8">
        <v>2.75</v>
      </c>
      <c r="E773" s="4">
        <v>98</v>
      </c>
      <c r="F773" s="8">
        <v>4.29</v>
      </c>
      <c r="G773" s="4">
        <v>18</v>
      </c>
      <c r="H773" s="8">
        <v>0.94</v>
      </c>
      <c r="I773" s="4">
        <v>1</v>
      </c>
    </row>
    <row r="774" spans="1:9" x14ac:dyDescent="0.2">
      <c r="A774" s="2">
        <v>6</v>
      </c>
      <c r="B774" s="1" t="s">
        <v>157</v>
      </c>
      <c r="C774" s="4">
        <v>105</v>
      </c>
      <c r="D774" s="8">
        <v>2.46</v>
      </c>
      <c r="E774" s="4">
        <v>79</v>
      </c>
      <c r="F774" s="8">
        <v>3.46</v>
      </c>
      <c r="G774" s="4">
        <v>26</v>
      </c>
      <c r="H774" s="8">
        <v>1.35</v>
      </c>
      <c r="I774" s="4">
        <v>0</v>
      </c>
    </row>
    <row r="775" spans="1:9" x14ac:dyDescent="0.2">
      <c r="A775" s="2">
        <v>7</v>
      </c>
      <c r="B775" s="1" t="s">
        <v>167</v>
      </c>
      <c r="C775" s="4">
        <v>103</v>
      </c>
      <c r="D775" s="8">
        <v>2.42</v>
      </c>
      <c r="E775" s="4">
        <v>94</v>
      </c>
      <c r="F775" s="8">
        <v>4.12</v>
      </c>
      <c r="G775" s="4">
        <v>9</v>
      </c>
      <c r="H775" s="8">
        <v>0.47</v>
      </c>
      <c r="I775" s="4">
        <v>0</v>
      </c>
    </row>
    <row r="776" spans="1:9" x14ac:dyDescent="0.2">
      <c r="A776" s="2">
        <v>8</v>
      </c>
      <c r="B776" s="1" t="s">
        <v>159</v>
      </c>
      <c r="C776" s="4">
        <v>93</v>
      </c>
      <c r="D776" s="8">
        <v>2.1800000000000002</v>
      </c>
      <c r="E776" s="4">
        <v>6</v>
      </c>
      <c r="F776" s="8">
        <v>0.26</v>
      </c>
      <c r="G776" s="4">
        <v>87</v>
      </c>
      <c r="H776" s="8">
        <v>4.5199999999999996</v>
      </c>
      <c r="I776" s="4">
        <v>0</v>
      </c>
    </row>
    <row r="777" spans="1:9" x14ac:dyDescent="0.2">
      <c r="A777" s="2">
        <v>8</v>
      </c>
      <c r="B777" s="1" t="s">
        <v>164</v>
      </c>
      <c r="C777" s="4">
        <v>93</v>
      </c>
      <c r="D777" s="8">
        <v>2.1800000000000002</v>
      </c>
      <c r="E777" s="4">
        <v>82</v>
      </c>
      <c r="F777" s="8">
        <v>3.59</v>
      </c>
      <c r="G777" s="4">
        <v>11</v>
      </c>
      <c r="H777" s="8">
        <v>0.56999999999999995</v>
      </c>
      <c r="I777" s="4">
        <v>0</v>
      </c>
    </row>
    <row r="778" spans="1:9" x14ac:dyDescent="0.2">
      <c r="A778" s="2">
        <v>8</v>
      </c>
      <c r="B778" s="1" t="s">
        <v>168</v>
      </c>
      <c r="C778" s="4">
        <v>93</v>
      </c>
      <c r="D778" s="8">
        <v>2.1800000000000002</v>
      </c>
      <c r="E778" s="4">
        <v>90</v>
      </c>
      <c r="F778" s="8">
        <v>3.94</v>
      </c>
      <c r="G778" s="4">
        <v>3</v>
      </c>
      <c r="H778" s="8">
        <v>0.16</v>
      </c>
      <c r="I778" s="4">
        <v>0</v>
      </c>
    </row>
    <row r="779" spans="1:9" x14ac:dyDescent="0.2">
      <c r="A779" s="2">
        <v>11</v>
      </c>
      <c r="B779" s="1" t="s">
        <v>190</v>
      </c>
      <c r="C779" s="4">
        <v>88</v>
      </c>
      <c r="D779" s="8">
        <v>2.0699999999999998</v>
      </c>
      <c r="E779" s="4">
        <v>8</v>
      </c>
      <c r="F779" s="8">
        <v>0.35</v>
      </c>
      <c r="G779" s="4">
        <v>80</v>
      </c>
      <c r="H779" s="8">
        <v>4.16</v>
      </c>
      <c r="I779" s="4">
        <v>0</v>
      </c>
    </row>
    <row r="780" spans="1:9" x14ac:dyDescent="0.2">
      <c r="A780" s="2">
        <v>12</v>
      </c>
      <c r="B780" s="1" t="s">
        <v>153</v>
      </c>
      <c r="C780" s="4">
        <v>84</v>
      </c>
      <c r="D780" s="8">
        <v>1.97</v>
      </c>
      <c r="E780" s="4">
        <v>32</v>
      </c>
      <c r="F780" s="8">
        <v>1.4</v>
      </c>
      <c r="G780" s="4">
        <v>52</v>
      </c>
      <c r="H780" s="8">
        <v>2.7</v>
      </c>
      <c r="I780" s="4">
        <v>0</v>
      </c>
    </row>
    <row r="781" spans="1:9" x14ac:dyDescent="0.2">
      <c r="A781" s="2">
        <v>13</v>
      </c>
      <c r="B781" s="1" t="s">
        <v>161</v>
      </c>
      <c r="C781" s="4">
        <v>80</v>
      </c>
      <c r="D781" s="8">
        <v>1.88</v>
      </c>
      <c r="E781" s="4">
        <v>63</v>
      </c>
      <c r="F781" s="8">
        <v>2.76</v>
      </c>
      <c r="G781" s="4">
        <v>17</v>
      </c>
      <c r="H781" s="8">
        <v>0.88</v>
      </c>
      <c r="I781" s="4">
        <v>0</v>
      </c>
    </row>
    <row r="782" spans="1:9" x14ac:dyDescent="0.2">
      <c r="A782" s="2">
        <v>14</v>
      </c>
      <c r="B782" s="1" t="s">
        <v>152</v>
      </c>
      <c r="C782" s="4">
        <v>72</v>
      </c>
      <c r="D782" s="8">
        <v>1.69</v>
      </c>
      <c r="E782" s="4">
        <v>10</v>
      </c>
      <c r="F782" s="8">
        <v>0.44</v>
      </c>
      <c r="G782" s="4">
        <v>62</v>
      </c>
      <c r="H782" s="8">
        <v>3.22</v>
      </c>
      <c r="I782" s="4">
        <v>0</v>
      </c>
    </row>
    <row r="783" spans="1:9" x14ac:dyDescent="0.2">
      <c r="A783" s="2">
        <v>15</v>
      </c>
      <c r="B783" s="1" t="s">
        <v>215</v>
      </c>
      <c r="C783" s="4">
        <v>70</v>
      </c>
      <c r="D783" s="8">
        <v>1.64</v>
      </c>
      <c r="E783" s="4">
        <v>45</v>
      </c>
      <c r="F783" s="8">
        <v>1.97</v>
      </c>
      <c r="G783" s="4">
        <v>25</v>
      </c>
      <c r="H783" s="8">
        <v>1.3</v>
      </c>
      <c r="I783" s="4">
        <v>0</v>
      </c>
    </row>
    <row r="784" spans="1:9" x14ac:dyDescent="0.2">
      <c r="A784" s="2">
        <v>16</v>
      </c>
      <c r="B784" s="1" t="s">
        <v>199</v>
      </c>
      <c r="C784" s="4">
        <v>61</v>
      </c>
      <c r="D784" s="8">
        <v>1.43</v>
      </c>
      <c r="E784" s="4">
        <v>47</v>
      </c>
      <c r="F784" s="8">
        <v>2.06</v>
      </c>
      <c r="G784" s="4">
        <v>14</v>
      </c>
      <c r="H784" s="8">
        <v>0.73</v>
      </c>
      <c r="I784" s="4">
        <v>0</v>
      </c>
    </row>
    <row r="785" spans="1:9" x14ac:dyDescent="0.2">
      <c r="A785" s="2">
        <v>17</v>
      </c>
      <c r="B785" s="1" t="s">
        <v>198</v>
      </c>
      <c r="C785" s="4">
        <v>57</v>
      </c>
      <c r="D785" s="8">
        <v>1.34</v>
      </c>
      <c r="E785" s="4">
        <v>45</v>
      </c>
      <c r="F785" s="8">
        <v>1.97</v>
      </c>
      <c r="G785" s="4">
        <v>12</v>
      </c>
      <c r="H785" s="8">
        <v>0.62</v>
      </c>
      <c r="I785" s="4">
        <v>0</v>
      </c>
    </row>
    <row r="786" spans="1:9" x14ac:dyDescent="0.2">
      <c r="A786" s="2">
        <v>18</v>
      </c>
      <c r="B786" s="1" t="s">
        <v>158</v>
      </c>
      <c r="C786" s="4">
        <v>56</v>
      </c>
      <c r="D786" s="8">
        <v>1.31</v>
      </c>
      <c r="E786" s="4">
        <v>11</v>
      </c>
      <c r="F786" s="8">
        <v>0.48</v>
      </c>
      <c r="G786" s="4">
        <v>45</v>
      </c>
      <c r="H786" s="8">
        <v>2.34</v>
      </c>
      <c r="I786" s="4">
        <v>0</v>
      </c>
    </row>
    <row r="787" spans="1:9" x14ac:dyDescent="0.2">
      <c r="A787" s="2">
        <v>19</v>
      </c>
      <c r="B787" s="1" t="s">
        <v>174</v>
      </c>
      <c r="C787" s="4">
        <v>54</v>
      </c>
      <c r="D787" s="8">
        <v>1.27</v>
      </c>
      <c r="E787" s="4">
        <v>14</v>
      </c>
      <c r="F787" s="8">
        <v>0.61</v>
      </c>
      <c r="G787" s="4">
        <v>40</v>
      </c>
      <c r="H787" s="8">
        <v>2.08</v>
      </c>
      <c r="I787" s="4">
        <v>0</v>
      </c>
    </row>
    <row r="788" spans="1:9" x14ac:dyDescent="0.2">
      <c r="A788" s="2">
        <v>20</v>
      </c>
      <c r="B788" s="1" t="s">
        <v>156</v>
      </c>
      <c r="C788" s="4">
        <v>51</v>
      </c>
      <c r="D788" s="8">
        <v>1.2</v>
      </c>
      <c r="E788" s="4">
        <v>38</v>
      </c>
      <c r="F788" s="8">
        <v>1.66</v>
      </c>
      <c r="G788" s="4">
        <v>13</v>
      </c>
      <c r="H788" s="8">
        <v>0.68</v>
      </c>
      <c r="I788" s="4">
        <v>0</v>
      </c>
    </row>
    <row r="789" spans="1:9" x14ac:dyDescent="0.2">
      <c r="A789" s="1"/>
      <c r="C789" s="4"/>
      <c r="D789" s="8"/>
      <c r="E789" s="4"/>
      <c r="F789" s="8"/>
      <c r="G789" s="4"/>
      <c r="H789" s="8"/>
      <c r="I789" s="4"/>
    </row>
    <row r="790" spans="1:9" x14ac:dyDescent="0.2">
      <c r="A790" s="1" t="s">
        <v>35</v>
      </c>
      <c r="C790" s="4"/>
      <c r="D790" s="8"/>
      <c r="E790" s="4"/>
      <c r="F790" s="8"/>
      <c r="G790" s="4"/>
      <c r="H790" s="8"/>
      <c r="I790" s="4"/>
    </row>
    <row r="791" spans="1:9" x14ac:dyDescent="0.2">
      <c r="A791" s="2">
        <v>1</v>
      </c>
      <c r="B791" s="1" t="s">
        <v>160</v>
      </c>
      <c r="C791" s="4">
        <v>594</v>
      </c>
      <c r="D791" s="8">
        <v>7.42</v>
      </c>
      <c r="E791" s="4">
        <v>136</v>
      </c>
      <c r="F791" s="8">
        <v>3.75</v>
      </c>
      <c r="G791" s="4">
        <v>458</v>
      </c>
      <c r="H791" s="8">
        <v>10.57</v>
      </c>
      <c r="I791" s="4">
        <v>0</v>
      </c>
    </row>
    <row r="792" spans="1:9" x14ac:dyDescent="0.2">
      <c r="A792" s="2">
        <v>2</v>
      </c>
      <c r="B792" s="1" t="s">
        <v>169</v>
      </c>
      <c r="C792" s="4">
        <v>365</v>
      </c>
      <c r="D792" s="8">
        <v>4.5599999999999996</v>
      </c>
      <c r="E792" s="4">
        <v>322</v>
      </c>
      <c r="F792" s="8">
        <v>8.8800000000000008</v>
      </c>
      <c r="G792" s="4">
        <v>43</v>
      </c>
      <c r="H792" s="8">
        <v>0.99</v>
      </c>
      <c r="I792" s="4">
        <v>0</v>
      </c>
    </row>
    <row r="793" spans="1:9" x14ac:dyDescent="0.2">
      <c r="A793" s="2">
        <v>3</v>
      </c>
      <c r="B793" s="1" t="s">
        <v>171</v>
      </c>
      <c r="C793" s="4">
        <v>271</v>
      </c>
      <c r="D793" s="8">
        <v>3.38</v>
      </c>
      <c r="E793" s="4">
        <v>236</v>
      </c>
      <c r="F793" s="8">
        <v>6.51</v>
      </c>
      <c r="G793" s="4">
        <v>35</v>
      </c>
      <c r="H793" s="8">
        <v>0.81</v>
      </c>
      <c r="I793" s="4">
        <v>0</v>
      </c>
    </row>
    <row r="794" spans="1:9" x14ac:dyDescent="0.2">
      <c r="A794" s="2">
        <v>4</v>
      </c>
      <c r="B794" s="1" t="s">
        <v>165</v>
      </c>
      <c r="C794" s="4">
        <v>236</v>
      </c>
      <c r="D794" s="8">
        <v>2.95</v>
      </c>
      <c r="E794" s="4">
        <v>222</v>
      </c>
      <c r="F794" s="8">
        <v>6.12</v>
      </c>
      <c r="G794" s="4">
        <v>14</v>
      </c>
      <c r="H794" s="8">
        <v>0.32</v>
      </c>
      <c r="I794" s="4">
        <v>0</v>
      </c>
    </row>
    <row r="795" spans="1:9" x14ac:dyDescent="0.2">
      <c r="A795" s="2">
        <v>5</v>
      </c>
      <c r="B795" s="1" t="s">
        <v>159</v>
      </c>
      <c r="C795" s="4">
        <v>222</v>
      </c>
      <c r="D795" s="8">
        <v>2.77</v>
      </c>
      <c r="E795" s="4">
        <v>12</v>
      </c>
      <c r="F795" s="8">
        <v>0.33</v>
      </c>
      <c r="G795" s="4">
        <v>210</v>
      </c>
      <c r="H795" s="8">
        <v>4.8499999999999996</v>
      </c>
      <c r="I795" s="4">
        <v>0</v>
      </c>
    </row>
    <row r="796" spans="1:9" x14ac:dyDescent="0.2">
      <c r="A796" s="2">
        <v>6</v>
      </c>
      <c r="B796" s="1" t="s">
        <v>170</v>
      </c>
      <c r="C796" s="4">
        <v>216</v>
      </c>
      <c r="D796" s="8">
        <v>2.7</v>
      </c>
      <c r="E796" s="4">
        <v>162</v>
      </c>
      <c r="F796" s="8">
        <v>4.47</v>
      </c>
      <c r="G796" s="4">
        <v>53</v>
      </c>
      <c r="H796" s="8">
        <v>1.22</v>
      </c>
      <c r="I796" s="4">
        <v>1</v>
      </c>
    </row>
    <row r="797" spans="1:9" x14ac:dyDescent="0.2">
      <c r="A797" s="2">
        <v>7</v>
      </c>
      <c r="B797" s="1" t="s">
        <v>162</v>
      </c>
      <c r="C797" s="4">
        <v>194</v>
      </c>
      <c r="D797" s="8">
        <v>2.42</v>
      </c>
      <c r="E797" s="4">
        <v>10</v>
      </c>
      <c r="F797" s="8">
        <v>0.28000000000000003</v>
      </c>
      <c r="G797" s="4">
        <v>184</v>
      </c>
      <c r="H797" s="8">
        <v>4.25</v>
      </c>
      <c r="I797" s="4">
        <v>0</v>
      </c>
    </row>
    <row r="798" spans="1:9" x14ac:dyDescent="0.2">
      <c r="A798" s="2">
        <v>8</v>
      </c>
      <c r="B798" s="1" t="s">
        <v>167</v>
      </c>
      <c r="C798" s="4">
        <v>186</v>
      </c>
      <c r="D798" s="8">
        <v>2.3199999999999998</v>
      </c>
      <c r="E798" s="4">
        <v>174</v>
      </c>
      <c r="F798" s="8">
        <v>4.8</v>
      </c>
      <c r="G798" s="4">
        <v>12</v>
      </c>
      <c r="H798" s="8">
        <v>0.28000000000000003</v>
      </c>
      <c r="I798" s="4">
        <v>0</v>
      </c>
    </row>
    <row r="799" spans="1:9" x14ac:dyDescent="0.2">
      <c r="A799" s="2">
        <v>8</v>
      </c>
      <c r="B799" s="1" t="s">
        <v>168</v>
      </c>
      <c r="C799" s="4">
        <v>186</v>
      </c>
      <c r="D799" s="8">
        <v>2.3199999999999998</v>
      </c>
      <c r="E799" s="4">
        <v>175</v>
      </c>
      <c r="F799" s="8">
        <v>4.83</v>
      </c>
      <c r="G799" s="4">
        <v>11</v>
      </c>
      <c r="H799" s="8">
        <v>0.25</v>
      </c>
      <c r="I799" s="4">
        <v>0</v>
      </c>
    </row>
    <row r="800" spans="1:9" x14ac:dyDescent="0.2">
      <c r="A800" s="2">
        <v>10</v>
      </c>
      <c r="B800" s="1" t="s">
        <v>164</v>
      </c>
      <c r="C800" s="4">
        <v>175</v>
      </c>
      <c r="D800" s="8">
        <v>2.19</v>
      </c>
      <c r="E800" s="4">
        <v>149</v>
      </c>
      <c r="F800" s="8">
        <v>4.1100000000000003</v>
      </c>
      <c r="G800" s="4">
        <v>26</v>
      </c>
      <c r="H800" s="8">
        <v>0.6</v>
      </c>
      <c r="I800" s="4">
        <v>0</v>
      </c>
    </row>
    <row r="801" spans="1:9" x14ac:dyDescent="0.2">
      <c r="A801" s="2">
        <v>11</v>
      </c>
      <c r="B801" s="1" t="s">
        <v>157</v>
      </c>
      <c r="C801" s="4">
        <v>144</v>
      </c>
      <c r="D801" s="8">
        <v>1.8</v>
      </c>
      <c r="E801" s="4">
        <v>100</v>
      </c>
      <c r="F801" s="8">
        <v>2.76</v>
      </c>
      <c r="G801" s="4">
        <v>44</v>
      </c>
      <c r="H801" s="8">
        <v>1.02</v>
      </c>
      <c r="I801" s="4">
        <v>0</v>
      </c>
    </row>
    <row r="802" spans="1:9" x14ac:dyDescent="0.2">
      <c r="A802" s="2">
        <v>12</v>
      </c>
      <c r="B802" s="1" t="s">
        <v>158</v>
      </c>
      <c r="C802" s="4">
        <v>123</v>
      </c>
      <c r="D802" s="8">
        <v>1.54</v>
      </c>
      <c r="E802" s="4">
        <v>22</v>
      </c>
      <c r="F802" s="8">
        <v>0.61</v>
      </c>
      <c r="G802" s="4">
        <v>101</v>
      </c>
      <c r="H802" s="8">
        <v>2.33</v>
      </c>
      <c r="I802" s="4">
        <v>0</v>
      </c>
    </row>
    <row r="803" spans="1:9" x14ac:dyDescent="0.2">
      <c r="A803" s="2">
        <v>12</v>
      </c>
      <c r="B803" s="1" t="s">
        <v>166</v>
      </c>
      <c r="C803" s="4">
        <v>123</v>
      </c>
      <c r="D803" s="8">
        <v>1.54</v>
      </c>
      <c r="E803" s="4">
        <v>119</v>
      </c>
      <c r="F803" s="8">
        <v>3.28</v>
      </c>
      <c r="G803" s="4">
        <v>4</v>
      </c>
      <c r="H803" s="8">
        <v>0.09</v>
      </c>
      <c r="I803" s="4">
        <v>0</v>
      </c>
    </row>
    <row r="804" spans="1:9" x14ac:dyDescent="0.2">
      <c r="A804" s="2">
        <v>14</v>
      </c>
      <c r="B804" s="1" t="s">
        <v>174</v>
      </c>
      <c r="C804" s="4">
        <v>110</v>
      </c>
      <c r="D804" s="8">
        <v>1.37</v>
      </c>
      <c r="E804" s="4">
        <v>33</v>
      </c>
      <c r="F804" s="8">
        <v>0.91</v>
      </c>
      <c r="G804" s="4">
        <v>77</v>
      </c>
      <c r="H804" s="8">
        <v>1.78</v>
      </c>
      <c r="I804" s="4">
        <v>0</v>
      </c>
    </row>
    <row r="805" spans="1:9" x14ac:dyDescent="0.2">
      <c r="A805" s="2">
        <v>15</v>
      </c>
      <c r="B805" s="1" t="s">
        <v>156</v>
      </c>
      <c r="C805" s="4">
        <v>101</v>
      </c>
      <c r="D805" s="8">
        <v>1.26</v>
      </c>
      <c r="E805" s="4">
        <v>68</v>
      </c>
      <c r="F805" s="8">
        <v>1.88</v>
      </c>
      <c r="G805" s="4">
        <v>33</v>
      </c>
      <c r="H805" s="8">
        <v>0.76</v>
      </c>
      <c r="I805" s="4">
        <v>0</v>
      </c>
    </row>
    <row r="806" spans="1:9" x14ac:dyDescent="0.2">
      <c r="A806" s="2">
        <v>16</v>
      </c>
      <c r="B806" s="1" t="s">
        <v>199</v>
      </c>
      <c r="C806" s="4">
        <v>100</v>
      </c>
      <c r="D806" s="8">
        <v>1.25</v>
      </c>
      <c r="E806" s="4">
        <v>53</v>
      </c>
      <c r="F806" s="8">
        <v>1.46</v>
      </c>
      <c r="G806" s="4">
        <v>47</v>
      </c>
      <c r="H806" s="8">
        <v>1.08</v>
      </c>
      <c r="I806" s="4">
        <v>0</v>
      </c>
    </row>
    <row r="807" spans="1:9" x14ac:dyDescent="0.2">
      <c r="A807" s="2">
        <v>17</v>
      </c>
      <c r="B807" s="1" t="s">
        <v>152</v>
      </c>
      <c r="C807" s="4">
        <v>93</v>
      </c>
      <c r="D807" s="8">
        <v>1.1599999999999999</v>
      </c>
      <c r="E807" s="4">
        <v>9</v>
      </c>
      <c r="F807" s="8">
        <v>0.25</v>
      </c>
      <c r="G807" s="4">
        <v>84</v>
      </c>
      <c r="H807" s="8">
        <v>1.94</v>
      </c>
      <c r="I807" s="4">
        <v>0</v>
      </c>
    </row>
    <row r="808" spans="1:9" x14ac:dyDescent="0.2">
      <c r="A808" s="2">
        <v>17</v>
      </c>
      <c r="B808" s="1" t="s">
        <v>181</v>
      </c>
      <c r="C808" s="4">
        <v>93</v>
      </c>
      <c r="D808" s="8">
        <v>1.1599999999999999</v>
      </c>
      <c r="E808" s="4">
        <v>67</v>
      </c>
      <c r="F808" s="8">
        <v>1.85</v>
      </c>
      <c r="G808" s="4">
        <v>26</v>
      </c>
      <c r="H808" s="8">
        <v>0.6</v>
      </c>
      <c r="I808" s="4">
        <v>0</v>
      </c>
    </row>
    <row r="809" spans="1:9" x14ac:dyDescent="0.2">
      <c r="A809" s="2">
        <v>19</v>
      </c>
      <c r="B809" s="1" t="s">
        <v>210</v>
      </c>
      <c r="C809" s="4">
        <v>92</v>
      </c>
      <c r="D809" s="8">
        <v>1.1499999999999999</v>
      </c>
      <c r="E809" s="4">
        <v>15</v>
      </c>
      <c r="F809" s="8">
        <v>0.41</v>
      </c>
      <c r="G809" s="4">
        <v>77</v>
      </c>
      <c r="H809" s="8">
        <v>1.78</v>
      </c>
      <c r="I809" s="4">
        <v>0</v>
      </c>
    </row>
    <row r="810" spans="1:9" x14ac:dyDescent="0.2">
      <c r="A810" s="2">
        <v>20</v>
      </c>
      <c r="B810" s="1" t="s">
        <v>196</v>
      </c>
      <c r="C810" s="4">
        <v>90</v>
      </c>
      <c r="D810" s="8">
        <v>1.1200000000000001</v>
      </c>
      <c r="E810" s="4">
        <v>43</v>
      </c>
      <c r="F810" s="8">
        <v>1.19</v>
      </c>
      <c r="G810" s="4">
        <v>47</v>
      </c>
      <c r="H810" s="8">
        <v>1.08</v>
      </c>
      <c r="I810" s="4">
        <v>0</v>
      </c>
    </row>
    <row r="811" spans="1:9" x14ac:dyDescent="0.2">
      <c r="A811" s="1"/>
      <c r="C811" s="4"/>
      <c r="D811" s="8"/>
      <c r="E811" s="4"/>
      <c r="F811" s="8"/>
      <c r="G811" s="4"/>
      <c r="H811" s="8"/>
      <c r="I811" s="4"/>
    </row>
    <row r="812" spans="1:9" x14ac:dyDescent="0.2">
      <c r="A812" s="1" t="s">
        <v>36</v>
      </c>
      <c r="C812" s="4"/>
      <c r="D812" s="8"/>
      <c r="E812" s="4"/>
      <c r="F812" s="8"/>
      <c r="G812" s="4"/>
      <c r="H812" s="8"/>
      <c r="I812" s="4"/>
    </row>
    <row r="813" spans="1:9" x14ac:dyDescent="0.2">
      <c r="A813" s="2">
        <v>1</v>
      </c>
      <c r="B813" s="1" t="s">
        <v>160</v>
      </c>
      <c r="C813" s="4">
        <v>164</v>
      </c>
      <c r="D813" s="8">
        <v>7.48</v>
      </c>
      <c r="E813" s="4">
        <v>61</v>
      </c>
      <c r="F813" s="8">
        <v>5.39</v>
      </c>
      <c r="G813" s="4">
        <v>103</v>
      </c>
      <c r="H813" s="8">
        <v>9.76</v>
      </c>
      <c r="I813" s="4">
        <v>0</v>
      </c>
    </row>
    <row r="814" spans="1:9" x14ac:dyDescent="0.2">
      <c r="A814" s="2">
        <v>2</v>
      </c>
      <c r="B814" s="1" t="s">
        <v>169</v>
      </c>
      <c r="C814" s="4">
        <v>108</v>
      </c>
      <c r="D814" s="8">
        <v>4.92</v>
      </c>
      <c r="E814" s="4">
        <v>91</v>
      </c>
      <c r="F814" s="8">
        <v>8.0500000000000007</v>
      </c>
      <c r="G814" s="4">
        <v>17</v>
      </c>
      <c r="H814" s="8">
        <v>1.61</v>
      </c>
      <c r="I814" s="4">
        <v>0</v>
      </c>
    </row>
    <row r="815" spans="1:9" x14ac:dyDescent="0.2">
      <c r="A815" s="2">
        <v>3</v>
      </c>
      <c r="B815" s="1" t="s">
        <v>165</v>
      </c>
      <c r="C815" s="4">
        <v>83</v>
      </c>
      <c r="D815" s="8">
        <v>3.78</v>
      </c>
      <c r="E815" s="4">
        <v>73</v>
      </c>
      <c r="F815" s="8">
        <v>6.45</v>
      </c>
      <c r="G815" s="4">
        <v>10</v>
      </c>
      <c r="H815" s="8">
        <v>0.95</v>
      </c>
      <c r="I815" s="4">
        <v>0</v>
      </c>
    </row>
    <row r="816" spans="1:9" x14ac:dyDescent="0.2">
      <c r="A816" s="2">
        <v>4</v>
      </c>
      <c r="B816" s="1" t="s">
        <v>171</v>
      </c>
      <c r="C816" s="4">
        <v>78</v>
      </c>
      <c r="D816" s="8">
        <v>3.56</v>
      </c>
      <c r="E816" s="4">
        <v>66</v>
      </c>
      <c r="F816" s="8">
        <v>5.84</v>
      </c>
      <c r="G816" s="4">
        <v>12</v>
      </c>
      <c r="H816" s="8">
        <v>1.1399999999999999</v>
      </c>
      <c r="I816" s="4">
        <v>0</v>
      </c>
    </row>
    <row r="817" spans="1:9" x14ac:dyDescent="0.2">
      <c r="A817" s="2">
        <v>5</v>
      </c>
      <c r="B817" s="1" t="s">
        <v>164</v>
      </c>
      <c r="C817" s="4">
        <v>66</v>
      </c>
      <c r="D817" s="8">
        <v>3.01</v>
      </c>
      <c r="E817" s="4">
        <v>58</v>
      </c>
      <c r="F817" s="8">
        <v>5.13</v>
      </c>
      <c r="G817" s="4">
        <v>8</v>
      </c>
      <c r="H817" s="8">
        <v>0.76</v>
      </c>
      <c r="I817" s="4">
        <v>0</v>
      </c>
    </row>
    <row r="818" spans="1:9" x14ac:dyDescent="0.2">
      <c r="A818" s="2">
        <v>6</v>
      </c>
      <c r="B818" s="1" t="s">
        <v>170</v>
      </c>
      <c r="C818" s="4">
        <v>61</v>
      </c>
      <c r="D818" s="8">
        <v>2.78</v>
      </c>
      <c r="E818" s="4">
        <v>47</v>
      </c>
      <c r="F818" s="8">
        <v>4.16</v>
      </c>
      <c r="G818" s="4">
        <v>14</v>
      </c>
      <c r="H818" s="8">
        <v>1.33</v>
      </c>
      <c r="I818" s="4">
        <v>0</v>
      </c>
    </row>
    <row r="819" spans="1:9" x14ac:dyDescent="0.2">
      <c r="A819" s="2">
        <v>7</v>
      </c>
      <c r="B819" s="1" t="s">
        <v>159</v>
      </c>
      <c r="C819" s="4">
        <v>54</v>
      </c>
      <c r="D819" s="8">
        <v>2.46</v>
      </c>
      <c r="E819" s="4">
        <v>13</v>
      </c>
      <c r="F819" s="8">
        <v>1.1499999999999999</v>
      </c>
      <c r="G819" s="4">
        <v>41</v>
      </c>
      <c r="H819" s="8">
        <v>3.89</v>
      </c>
      <c r="I819" s="4">
        <v>0</v>
      </c>
    </row>
    <row r="820" spans="1:9" x14ac:dyDescent="0.2">
      <c r="A820" s="2">
        <v>7</v>
      </c>
      <c r="B820" s="1" t="s">
        <v>167</v>
      </c>
      <c r="C820" s="4">
        <v>54</v>
      </c>
      <c r="D820" s="8">
        <v>2.46</v>
      </c>
      <c r="E820" s="4">
        <v>53</v>
      </c>
      <c r="F820" s="8">
        <v>4.6900000000000004</v>
      </c>
      <c r="G820" s="4">
        <v>1</v>
      </c>
      <c r="H820" s="8">
        <v>0.09</v>
      </c>
      <c r="I820" s="4">
        <v>0</v>
      </c>
    </row>
    <row r="821" spans="1:9" x14ac:dyDescent="0.2">
      <c r="A821" s="2">
        <v>9</v>
      </c>
      <c r="B821" s="1" t="s">
        <v>190</v>
      </c>
      <c r="C821" s="4">
        <v>47</v>
      </c>
      <c r="D821" s="8">
        <v>2.14</v>
      </c>
      <c r="E821" s="4">
        <v>10</v>
      </c>
      <c r="F821" s="8">
        <v>0.88</v>
      </c>
      <c r="G821" s="4">
        <v>37</v>
      </c>
      <c r="H821" s="8">
        <v>3.51</v>
      </c>
      <c r="I821" s="4">
        <v>0</v>
      </c>
    </row>
    <row r="822" spans="1:9" x14ac:dyDescent="0.2">
      <c r="A822" s="2">
        <v>9</v>
      </c>
      <c r="B822" s="1" t="s">
        <v>157</v>
      </c>
      <c r="C822" s="4">
        <v>47</v>
      </c>
      <c r="D822" s="8">
        <v>2.14</v>
      </c>
      <c r="E822" s="4">
        <v>38</v>
      </c>
      <c r="F822" s="8">
        <v>3.36</v>
      </c>
      <c r="G822" s="4">
        <v>8</v>
      </c>
      <c r="H822" s="8">
        <v>0.76</v>
      </c>
      <c r="I822" s="4">
        <v>1</v>
      </c>
    </row>
    <row r="823" spans="1:9" x14ac:dyDescent="0.2">
      <c r="A823" s="2">
        <v>11</v>
      </c>
      <c r="B823" s="1" t="s">
        <v>162</v>
      </c>
      <c r="C823" s="4">
        <v>46</v>
      </c>
      <c r="D823" s="8">
        <v>2.1</v>
      </c>
      <c r="E823" s="4">
        <v>4</v>
      </c>
      <c r="F823" s="8">
        <v>0.35</v>
      </c>
      <c r="G823" s="4">
        <v>42</v>
      </c>
      <c r="H823" s="8">
        <v>3.98</v>
      </c>
      <c r="I823" s="4">
        <v>0</v>
      </c>
    </row>
    <row r="824" spans="1:9" x14ac:dyDescent="0.2">
      <c r="A824" s="2">
        <v>12</v>
      </c>
      <c r="B824" s="1" t="s">
        <v>166</v>
      </c>
      <c r="C824" s="4">
        <v>44</v>
      </c>
      <c r="D824" s="8">
        <v>2.0099999999999998</v>
      </c>
      <c r="E824" s="4">
        <v>41</v>
      </c>
      <c r="F824" s="8">
        <v>3.63</v>
      </c>
      <c r="G824" s="4">
        <v>3</v>
      </c>
      <c r="H824" s="8">
        <v>0.28000000000000003</v>
      </c>
      <c r="I824" s="4">
        <v>0</v>
      </c>
    </row>
    <row r="825" spans="1:9" x14ac:dyDescent="0.2">
      <c r="A825" s="2">
        <v>13</v>
      </c>
      <c r="B825" s="1" t="s">
        <v>158</v>
      </c>
      <c r="C825" s="4">
        <v>43</v>
      </c>
      <c r="D825" s="8">
        <v>1.96</v>
      </c>
      <c r="E825" s="4">
        <v>7</v>
      </c>
      <c r="F825" s="8">
        <v>0.62</v>
      </c>
      <c r="G825" s="4">
        <v>36</v>
      </c>
      <c r="H825" s="8">
        <v>3.41</v>
      </c>
      <c r="I825" s="4">
        <v>0</v>
      </c>
    </row>
    <row r="826" spans="1:9" x14ac:dyDescent="0.2">
      <c r="A826" s="2">
        <v>14</v>
      </c>
      <c r="B826" s="1" t="s">
        <v>168</v>
      </c>
      <c r="C826" s="4">
        <v>40</v>
      </c>
      <c r="D826" s="8">
        <v>1.82</v>
      </c>
      <c r="E826" s="4">
        <v>38</v>
      </c>
      <c r="F826" s="8">
        <v>3.36</v>
      </c>
      <c r="G826" s="4">
        <v>2</v>
      </c>
      <c r="H826" s="8">
        <v>0.19</v>
      </c>
      <c r="I826" s="4">
        <v>0</v>
      </c>
    </row>
    <row r="827" spans="1:9" x14ac:dyDescent="0.2">
      <c r="A827" s="2">
        <v>15</v>
      </c>
      <c r="B827" s="1" t="s">
        <v>153</v>
      </c>
      <c r="C827" s="4">
        <v>38</v>
      </c>
      <c r="D827" s="8">
        <v>1.73</v>
      </c>
      <c r="E827" s="4">
        <v>4</v>
      </c>
      <c r="F827" s="8">
        <v>0.35</v>
      </c>
      <c r="G827" s="4">
        <v>34</v>
      </c>
      <c r="H827" s="8">
        <v>3.22</v>
      </c>
      <c r="I827" s="4">
        <v>0</v>
      </c>
    </row>
    <row r="828" spans="1:9" x14ac:dyDescent="0.2">
      <c r="A828" s="2">
        <v>16</v>
      </c>
      <c r="B828" s="1" t="s">
        <v>161</v>
      </c>
      <c r="C828" s="4">
        <v>36</v>
      </c>
      <c r="D828" s="8">
        <v>1.64</v>
      </c>
      <c r="E828" s="4">
        <v>25</v>
      </c>
      <c r="F828" s="8">
        <v>2.21</v>
      </c>
      <c r="G828" s="4">
        <v>11</v>
      </c>
      <c r="H828" s="8">
        <v>1.04</v>
      </c>
      <c r="I828" s="4">
        <v>0</v>
      </c>
    </row>
    <row r="829" spans="1:9" x14ac:dyDescent="0.2">
      <c r="A829" s="2">
        <v>17</v>
      </c>
      <c r="B829" s="1" t="s">
        <v>215</v>
      </c>
      <c r="C829" s="4">
        <v>31</v>
      </c>
      <c r="D829" s="8">
        <v>1.41</v>
      </c>
      <c r="E829" s="4">
        <v>13</v>
      </c>
      <c r="F829" s="8">
        <v>1.1499999999999999</v>
      </c>
      <c r="G829" s="4">
        <v>18</v>
      </c>
      <c r="H829" s="8">
        <v>1.71</v>
      </c>
      <c r="I829" s="4">
        <v>0</v>
      </c>
    </row>
    <row r="830" spans="1:9" x14ac:dyDescent="0.2">
      <c r="A830" s="2">
        <v>17</v>
      </c>
      <c r="B830" s="1" t="s">
        <v>196</v>
      </c>
      <c r="C830" s="4">
        <v>31</v>
      </c>
      <c r="D830" s="8">
        <v>1.41</v>
      </c>
      <c r="E830" s="4">
        <v>20</v>
      </c>
      <c r="F830" s="8">
        <v>1.77</v>
      </c>
      <c r="G830" s="4">
        <v>11</v>
      </c>
      <c r="H830" s="8">
        <v>1.04</v>
      </c>
      <c r="I830" s="4">
        <v>0</v>
      </c>
    </row>
    <row r="831" spans="1:9" x14ac:dyDescent="0.2">
      <c r="A831" s="2">
        <v>19</v>
      </c>
      <c r="B831" s="1" t="s">
        <v>154</v>
      </c>
      <c r="C831" s="4">
        <v>29</v>
      </c>
      <c r="D831" s="8">
        <v>1.32</v>
      </c>
      <c r="E831" s="4">
        <v>8</v>
      </c>
      <c r="F831" s="8">
        <v>0.71</v>
      </c>
      <c r="G831" s="4">
        <v>21</v>
      </c>
      <c r="H831" s="8">
        <v>1.99</v>
      </c>
      <c r="I831" s="4">
        <v>0</v>
      </c>
    </row>
    <row r="832" spans="1:9" x14ac:dyDescent="0.2">
      <c r="A832" s="2">
        <v>20</v>
      </c>
      <c r="B832" s="1" t="s">
        <v>210</v>
      </c>
      <c r="C832" s="4">
        <v>27</v>
      </c>
      <c r="D832" s="8">
        <v>1.23</v>
      </c>
      <c r="E832" s="4">
        <v>4</v>
      </c>
      <c r="F832" s="8">
        <v>0.35</v>
      </c>
      <c r="G832" s="4">
        <v>23</v>
      </c>
      <c r="H832" s="8">
        <v>2.1800000000000002</v>
      </c>
      <c r="I832" s="4">
        <v>0</v>
      </c>
    </row>
    <row r="833" spans="1:9" x14ac:dyDescent="0.2">
      <c r="A833" s="2">
        <v>20</v>
      </c>
      <c r="B833" s="1" t="s">
        <v>174</v>
      </c>
      <c r="C833" s="4">
        <v>27</v>
      </c>
      <c r="D833" s="8">
        <v>1.23</v>
      </c>
      <c r="E833" s="4">
        <v>6</v>
      </c>
      <c r="F833" s="8">
        <v>0.53</v>
      </c>
      <c r="G833" s="4">
        <v>21</v>
      </c>
      <c r="H833" s="8">
        <v>1.99</v>
      </c>
      <c r="I833" s="4">
        <v>0</v>
      </c>
    </row>
    <row r="834" spans="1:9" x14ac:dyDescent="0.2">
      <c r="A834" s="2">
        <v>20</v>
      </c>
      <c r="B834" s="1" t="s">
        <v>156</v>
      </c>
      <c r="C834" s="4">
        <v>27</v>
      </c>
      <c r="D834" s="8">
        <v>1.23</v>
      </c>
      <c r="E834" s="4">
        <v>15</v>
      </c>
      <c r="F834" s="8">
        <v>1.33</v>
      </c>
      <c r="G834" s="4">
        <v>12</v>
      </c>
      <c r="H834" s="8">
        <v>1.1399999999999999</v>
      </c>
      <c r="I834" s="4">
        <v>0</v>
      </c>
    </row>
    <row r="835" spans="1:9" x14ac:dyDescent="0.2">
      <c r="A835" s="1"/>
      <c r="C835" s="4"/>
      <c r="D835" s="8"/>
      <c r="E835" s="4"/>
      <c r="F835" s="8"/>
      <c r="G835" s="4"/>
      <c r="H835" s="8"/>
      <c r="I835" s="4"/>
    </row>
    <row r="836" spans="1:9" x14ac:dyDescent="0.2">
      <c r="A836" s="1" t="s">
        <v>37</v>
      </c>
      <c r="C836" s="4"/>
      <c r="D836" s="8"/>
      <c r="E836" s="4"/>
      <c r="F836" s="8"/>
      <c r="G836" s="4"/>
      <c r="H836" s="8"/>
      <c r="I836" s="4"/>
    </row>
    <row r="837" spans="1:9" x14ac:dyDescent="0.2">
      <c r="A837" s="2">
        <v>1</v>
      </c>
      <c r="B837" s="1" t="s">
        <v>160</v>
      </c>
      <c r="C837" s="4">
        <v>488</v>
      </c>
      <c r="D837" s="8">
        <v>7.99</v>
      </c>
      <c r="E837" s="4">
        <v>73</v>
      </c>
      <c r="F837" s="8">
        <v>3.21</v>
      </c>
      <c r="G837" s="4">
        <v>415</v>
      </c>
      <c r="H837" s="8">
        <v>11.05</v>
      </c>
      <c r="I837" s="4">
        <v>0</v>
      </c>
    </row>
    <row r="838" spans="1:9" x14ac:dyDescent="0.2">
      <c r="A838" s="2">
        <v>2</v>
      </c>
      <c r="B838" s="1" t="s">
        <v>169</v>
      </c>
      <c r="C838" s="4">
        <v>249</v>
      </c>
      <c r="D838" s="8">
        <v>4.08</v>
      </c>
      <c r="E838" s="4">
        <v>218</v>
      </c>
      <c r="F838" s="8">
        <v>9.59</v>
      </c>
      <c r="G838" s="4">
        <v>31</v>
      </c>
      <c r="H838" s="8">
        <v>0.83</v>
      </c>
      <c r="I838" s="4">
        <v>0</v>
      </c>
    </row>
    <row r="839" spans="1:9" x14ac:dyDescent="0.2">
      <c r="A839" s="2">
        <v>3</v>
      </c>
      <c r="B839" s="1" t="s">
        <v>171</v>
      </c>
      <c r="C839" s="4">
        <v>203</v>
      </c>
      <c r="D839" s="8">
        <v>3.33</v>
      </c>
      <c r="E839" s="4">
        <v>173</v>
      </c>
      <c r="F839" s="8">
        <v>7.61</v>
      </c>
      <c r="G839" s="4">
        <v>30</v>
      </c>
      <c r="H839" s="8">
        <v>0.8</v>
      </c>
      <c r="I839" s="4">
        <v>0</v>
      </c>
    </row>
    <row r="840" spans="1:9" x14ac:dyDescent="0.2">
      <c r="A840" s="2">
        <v>4</v>
      </c>
      <c r="B840" s="1" t="s">
        <v>159</v>
      </c>
      <c r="C840" s="4">
        <v>190</v>
      </c>
      <c r="D840" s="8">
        <v>3.11</v>
      </c>
      <c r="E840" s="4">
        <v>10</v>
      </c>
      <c r="F840" s="8">
        <v>0.44</v>
      </c>
      <c r="G840" s="4">
        <v>179</v>
      </c>
      <c r="H840" s="8">
        <v>4.7699999999999996</v>
      </c>
      <c r="I840" s="4">
        <v>1</v>
      </c>
    </row>
    <row r="841" spans="1:9" x14ac:dyDescent="0.2">
      <c r="A841" s="2">
        <v>5</v>
      </c>
      <c r="B841" s="1" t="s">
        <v>162</v>
      </c>
      <c r="C841" s="4">
        <v>166</v>
      </c>
      <c r="D841" s="8">
        <v>2.72</v>
      </c>
      <c r="E841" s="4">
        <v>8</v>
      </c>
      <c r="F841" s="8">
        <v>0.35</v>
      </c>
      <c r="G841" s="4">
        <v>158</v>
      </c>
      <c r="H841" s="8">
        <v>4.21</v>
      </c>
      <c r="I841" s="4">
        <v>0</v>
      </c>
    </row>
    <row r="842" spans="1:9" x14ac:dyDescent="0.2">
      <c r="A842" s="2">
        <v>6</v>
      </c>
      <c r="B842" s="1" t="s">
        <v>170</v>
      </c>
      <c r="C842" s="4">
        <v>162</v>
      </c>
      <c r="D842" s="8">
        <v>2.65</v>
      </c>
      <c r="E842" s="4">
        <v>117</v>
      </c>
      <c r="F842" s="8">
        <v>5.15</v>
      </c>
      <c r="G842" s="4">
        <v>44</v>
      </c>
      <c r="H842" s="8">
        <v>1.17</v>
      </c>
      <c r="I842" s="4">
        <v>1</v>
      </c>
    </row>
    <row r="843" spans="1:9" x14ac:dyDescent="0.2">
      <c r="A843" s="2">
        <v>7</v>
      </c>
      <c r="B843" s="1" t="s">
        <v>165</v>
      </c>
      <c r="C843" s="4">
        <v>138</v>
      </c>
      <c r="D843" s="8">
        <v>2.2599999999999998</v>
      </c>
      <c r="E843" s="4">
        <v>128</v>
      </c>
      <c r="F843" s="8">
        <v>5.63</v>
      </c>
      <c r="G843" s="4">
        <v>10</v>
      </c>
      <c r="H843" s="8">
        <v>0.27</v>
      </c>
      <c r="I843" s="4">
        <v>0</v>
      </c>
    </row>
    <row r="844" spans="1:9" x14ac:dyDescent="0.2">
      <c r="A844" s="2">
        <v>8</v>
      </c>
      <c r="B844" s="1" t="s">
        <v>164</v>
      </c>
      <c r="C844" s="4">
        <v>131</v>
      </c>
      <c r="D844" s="8">
        <v>2.15</v>
      </c>
      <c r="E844" s="4">
        <v>104</v>
      </c>
      <c r="F844" s="8">
        <v>4.58</v>
      </c>
      <c r="G844" s="4">
        <v>27</v>
      </c>
      <c r="H844" s="8">
        <v>0.72</v>
      </c>
      <c r="I844" s="4">
        <v>0</v>
      </c>
    </row>
    <row r="845" spans="1:9" x14ac:dyDescent="0.2">
      <c r="A845" s="2">
        <v>9</v>
      </c>
      <c r="B845" s="1" t="s">
        <v>168</v>
      </c>
      <c r="C845" s="4">
        <v>118</v>
      </c>
      <c r="D845" s="8">
        <v>1.93</v>
      </c>
      <c r="E845" s="4">
        <v>102</v>
      </c>
      <c r="F845" s="8">
        <v>4.49</v>
      </c>
      <c r="G845" s="4">
        <v>16</v>
      </c>
      <c r="H845" s="8">
        <v>0.43</v>
      </c>
      <c r="I845" s="4">
        <v>0</v>
      </c>
    </row>
    <row r="846" spans="1:9" x14ac:dyDescent="0.2">
      <c r="A846" s="2">
        <v>10</v>
      </c>
      <c r="B846" s="1" t="s">
        <v>158</v>
      </c>
      <c r="C846" s="4">
        <v>112</v>
      </c>
      <c r="D846" s="8">
        <v>1.83</v>
      </c>
      <c r="E846" s="4">
        <v>12</v>
      </c>
      <c r="F846" s="8">
        <v>0.53</v>
      </c>
      <c r="G846" s="4">
        <v>100</v>
      </c>
      <c r="H846" s="8">
        <v>2.66</v>
      </c>
      <c r="I846" s="4">
        <v>0</v>
      </c>
    </row>
    <row r="847" spans="1:9" x14ac:dyDescent="0.2">
      <c r="A847" s="2">
        <v>11</v>
      </c>
      <c r="B847" s="1" t="s">
        <v>167</v>
      </c>
      <c r="C847" s="4">
        <v>107</v>
      </c>
      <c r="D847" s="8">
        <v>1.75</v>
      </c>
      <c r="E847" s="4">
        <v>97</v>
      </c>
      <c r="F847" s="8">
        <v>4.2699999999999996</v>
      </c>
      <c r="G847" s="4">
        <v>10</v>
      </c>
      <c r="H847" s="8">
        <v>0.27</v>
      </c>
      <c r="I847" s="4">
        <v>0</v>
      </c>
    </row>
    <row r="848" spans="1:9" x14ac:dyDescent="0.2">
      <c r="A848" s="2">
        <v>12</v>
      </c>
      <c r="B848" s="1" t="s">
        <v>157</v>
      </c>
      <c r="C848" s="4">
        <v>101</v>
      </c>
      <c r="D848" s="8">
        <v>1.65</v>
      </c>
      <c r="E848" s="4">
        <v>75</v>
      </c>
      <c r="F848" s="8">
        <v>3.3</v>
      </c>
      <c r="G848" s="4">
        <v>26</v>
      </c>
      <c r="H848" s="8">
        <v>0.69</v>
      </c>
      <c r="I848" s="4">
        <v>0</v>
      </c>
    </row>
    <row r="849" spans="1:9" x14ac:dyDescent="0.2">
      <c r="A849" s="2">
        <v>13</v>
      </c>
      <c r="B849" s="1" t="s">
        <v>172</v>
      </c>
      <c r="C849" s="4">
        <v>83</v>
      </c>
      <c r="D849" s="8">
        <v>1.36</v>
      </c>
      <c r="E849" s="4">
        <v>21</v>
      </c>
      <c r="F849" s="8">
        <v>0.92</v>
      </c>
      <c r="G849" s="4">
        <v>62</v>
      </c>
      <c r="H849" s="8">
        <v>1.65</v>
      </c>
      <c r="I849" s="4">
        <v>0</v>
      </c>
    </row>
    <row r="850" spans="1:9" x14ac:dyDescent="0.2">
      <c r="A850" s="2">
        <v>14</v>
      </c>
      <c r="B850" s="1" t="s">
        <v>152</v>
      </c>
      <c r="C850" s="4">
        <v>82</v>
      </c>
      <c r="D850" s="8">
        <v>1.34</v>
      </c>
      <c r="E850" s="4">
        <v>3</v>
      </c>
      <c r="F850" s="8">
        <v>0.13</v>
      </c>
      <c r="G850" s="4">
        <v>79</v>
      </c>
      <c r="H850" s="8">
        <v>2.1</v>
      </c>
      <c r="I850" s="4">
        <v>0</v>
      </c>
    </row>
    <row r="851" spans="1:9" x14ac:dyDescent="0.2">
      <c r="A851" s="2">
        <v>15</v>
      </c>
      <c r="B851" s="1" t="s">
        <v>179</v>
      </c>
      <c r="C851" s="4">
        <v>78</v>
      </c>
      <c r="D851" s="8">
        <v>1.28</v>
      </c>
      <c r="E851" s="4">
        <v>2</v>
      </c>
      <c r="F851" s="8">
        <v>0.09</v>
      </c>
      <c r="G851" s="4">
        <v>76</v>
      </c>
      <c r="H851" s="8">
        <v>2.02</v>
      </c>
      <c r="I851" s="4">
        <v>0</v>
      </c>
    </row>
    <row r="852" spans="1:9" x14ac:dyDescent="0.2">
      <c r="A852" s="2">
        <v>15</v>
      </c>
      <c r="B852" s="1" t="s">
        <v>155</v>
      </c>
      <c r="C852" s="4">
        <v>78</v>
      </c>
      <c r="D852" s="8">
        <v>1.28</v>
      </c>
      <c r="E852" s="4">
        <v>41</v>
      </c>
      <c r="F852" s="8">
        <v>1.8</v>
      </c>
      <c r="G852" s="4">
        <v>37</v>
      </c>
      <c r="H852" s="8">
        <v>0.99</v>
      </c>
      <c r="I852" s="4">
        <v>0</v>
      </c>
    </row>
    <row r="853" spans="1:9" x14ac:dyDescent="0.2">
      <c r="A853" s="2">
        <v>15</v>
      </c>
      <c r="B853" s="1" t="s">
        <v>199</v>
      </c>
      <c r="C853" s="4">
        <v>78</v>
      </c>
      <c r="D853" s="8">
        <v>1.28</v>
      </c>
      <c r="E853" s="4">
        <v>44</v>
      </c>
      <c r="F853" s="8">
        <v>1.94</v>
      </c>
      <c r="G853" s="4">
        <v>34</v>
      </c>
      <c r="H853" s="8">
        <v>0.91</v>
      </c>
      <c r="I853" s="4">
        <v>0</v>
      </c>
    </row>
    <row r="854" spans="1:9" x14ac:dyDescent="0.2">
      <c r="A854" s="2">
        <v>18</v>
      </c>
      <c r="B854" s="1" t="s">
        <v>154</v>
      </c>
      <c r="C854" s="4">
        <v>77</v>
      </c>
      <c r="D854" s="8">
        <v>1.26</v>
      </c>
      <c r="E854" s="4">
        <v>6</v>
      </c>
      <c r="F854" s="8">
        <v>0.26</v>
      </c>
      <c r="G854" s="4">
        <v>71</v>
      </c>
      <c r="H854" s="8">
        <v>1.89</v>
      </c>
      <c r="I854" s="4">
        <v>0</v>
      </c>
    </row>
    <row r="855" spans="1:9" x14ac:dyDescent="0.2">
      <c r="A855" s="2">
        <v>19</v>
      </c>
      <c r="B855" s="1" t="s">
        <v>156</v>
      </c>
      <c r="C855" s="4">
        <v>74</v>
      </c>
      <c r="D855" s="8">
        <v>1.21</v>
      </c>
      <c r="E855" s="4">
        <v>47</v>
      </c>
      <c r="F855" s="8">
        <v>2.0699999999999998</v>
      </c>
      <c r="G855" s="4">
        <v>27</v>
      </c>
      <c r="H855" s="8">
        <v>0.72</v>
      </c>
      <c r="I855" s="4">
        <v>0</v>
      </c>
    </row>
    <row r="856" spans="1:9" x14ac:dyDescent="0.2">
      <c r="A856" s="2">
        <v>20</v>
      </c>
      <c r="B856" s="1" t="s">
        <v>153</v>
      </c>
      <c r="C856" s="4">
        <v>73</v>
      </c>
      <c r="D856" s="8">
        <v>1.2</v>
      </c>
      <c r="E856" s="4">
        <v>8</v>
      </c>
      <c r="F856" s="8">
        <v>0.35</v>
      </c>
      <c r="G856" s="4">
        <v>65</v>
      </c>
      <c r="H856" s="8">
        <v>1.73</v>
      </c>
      <c r="I856" s="4">
        <v>0</v>
      </c>
    </row>
    <row r="857" spans="1:9" x14ac:dyDescent="0.2">
      <c r="A857" s="1"/>
      <c r="C857" s="4"/>
      <c r="D857" s="8"/>
      <c r="E857" s="4"/>
      <c r="F857" s="8"/>
      <c r="G857" s="4"/>
      <c r="H857" s="8"/>
      <c r="I857" s="4"/>
    </row>
    <row r="858" spans="1:9" x14ac:dyDescent="0.2">
      <c r="A858" s="1" t="s">
        <v>38</v>
      </c>
      <c r="C858" s="4"/>
      <c r="D858" s="8"/>
      <c r="E858" s="4"/>
      <c r="F858" s="8"/>
      <c r="G858" s="4"/>
      <c r="H858" s="8"/>
      <c r="I858" s="4"/>
    </row>
    <row r="859" spans="1:9" x14ac:dyDescent="0.2">
      <c r="A859" s="2">
        <v>1</v>
      </c>
      <c r="B859" s="1" t="s">
        <v>160</v>
      </c>
      <c r="C859" s="4">
        <v>134</v>
      </c>
      <c r="D859" s="8">
        <v>7.3</v>
      </c>
      <c r="E859" s="4">
        <v>79</v>
      </c>
      <c r="F859" s="8">
        <v>7.31</v>
      </c>
      <c r="G859" s="4">
        <v>55</v>
      </c>
      <c r="H859" s="8">
        <v>7.33</v>
      </c>
      <c r="I859" s="4">
        <v>0</v>
      </c>
    </row>
    <row r="860" spans="1:9" x14ac:dyDescent="0.2">
      <c r="A860" s="2">
        <v>2</v>
      </c>
      <c r="B860" s="1" t="s">
        <v>159</v>
      </c>
      <c r="C860" s="4">
        <v>75</v>
      </c>
      <c r="D860" s="8">
        <v>4.09</v>
      </c>
      <c r="E860" s="4">
        <v>19</v>
      </c>
      <c r="F860" s="8">
        <v>1.76</v>
      </c>
      <c r="G860" s="4">
        <v>56</v>
      </c>
      <c r="H860" s="8">
        <v>7.47</v>
      </c>
      <c r="I860" s="4">
        <v>0</v>
      </c>
    </row>
    <row r="861" spans="1:9" x14ac:dyDescent="0.2">
      <c r="A861" s="2">
        <v>3</v>
      </c>
      <c r="B861" s="1" t="s">
        <v>161</v>
      </c>
      <c r="C861" s="4">
        <v>73</v>
      </c>
      <c r="D861" s="8">
        <v>3.98</v>
      </c>
      <c r="E861" s="4">
        <v>67</v>
      </c>
      <c r="F861" s="8">
        <v>6.2</v>
      </c>
      <c r="G861" s="4">
        <v>6</v>
      </c>
      <c r="H861" s="8">
        <v>0.8</v>
      </c>
      <c r="I861" s="4">
        <v>0</v>
      </c>
    </row>
    <row r="862" spans="1:9" x14ac:dyDescent="0.2">
      <c r="A862" s="2">
        <v>4</v>
      </c>
      <c r="B862" s="1" t="s">
        <v>169</v>
      </c>
      <c r="C862" s="4">
        <v>67</v>
      </c>
      <c r="D862" s="8">
        <v>3.65</v>
      </c>
      <c r="E862" s="4">
        <v>57</v>
      </c>
      <c r="F862" s="8">
        <v>5.28</v>
      </c>
      <c r="G862" s="4">
        <v>10</v>
      </c>
      <c r="H862" s="8">
        <v>1.33</v>
      </c>
      <c r="I862" s="4">
        <v>0</v>
      </c>
    </row>
    <row r="863" spans="1:9" x14ac:dyDescent="0.2">
      <c r="A863" s="2">
        <v>5</v>
      </c>
      <c r="B863" s="1" t="s">
        <v>165</v>
      </c>
      <c r="C863" s="4">
        <v>66</v>
      </c>
      <c r="D863" s="8">
        <v>3.6</v>
      </c>
      <c r="E863" s="4">
        <v>64</v>
      </c>
      <c r="F863" s="8">
        <v>5.93</v>
      </c>
      <c r="G863" s="4">
        <v>2</v>
      </c>
      <c r="H863" s="8">
        <v>0.27</v>
      </c>
      <c r="I863" s="4">
        <v>0</v>
      </c>
    </row>
    <row r="864" spans="1:9" x14ac:dyDescent="0.2">
      <c r="A864" s="2">
        <v>6</v>
      </c>
      <c r="B864" s="1" t="s">
        <v>166</v>
      </c>
      <c r="C864" s="4">
        <v>50</v>
      </c>
      <c r="D864" s="8">
        <v>2.72</v>
      </c>
      <c r="E864" s="4">
        <v>50</v>
      </c>
      <c r="F864" s="8">
        <v>4.63</v>
      </c>
      <c r="G864" s="4">
        <v>0</v>
      </c>
      <c r="H864" s="8">
        <v>0</v>
      </c>
      <c r="I864" s="4">
        <v>0</v>
      </c>
    </row>
    <row r="865" spans="1:9" x14ac:dyDescent="0.2">
      <c r="A865" s="2">
        <v>7</v>
      </c>
      <c r="B865" s="1" t="s">
        <v>170</v>
      </c>
      <c r="C865" s="4">
        <v>46</v>
      </c>
      <c r="D865" s="8">
        <v>2.5099999999999998</v>
      </c>
      <c r="E865" s="4">
        <v>37</v>
      </c>
      <c r="F865" s="8">
        <v>3.43</v>
      </c>
      <c r="G865" s="4">
        <v>9</v>
      </c>
      <c r="H865" s="8">
        <v>1.2</v>
      </c>
      <c r="I865" s="4">
        <v>0</v>
      </c>
    </row>
    <row r="866" spans="1:9" x14ac:dyDescent="0.2">
      <c r="A866" s="2">
        <v>7</v>
      </c>
      <c r="B866" s="1" t="s">
        <v>171</v>
      </c>
      <c r="C866" s="4">
        <v>46</v>
      </c>
      <c r="D866" s="8">
        <v>2.5099999999999998</v>
      </c>
      <c r="E866" s="4">
        <v>42</v>
      </c>
      <c r="F866" s="8">
        <v>3.89</v>
      </c>
      <c r="G866" s="4">
        <v>4</v>
      </c>
      <c r="H866" s="8">
        <v>0.53</v>
      </c>
      <c r="I866" s="4">
        <v>0</v>
      </c>
    </row>
    <row r="867" spans="1:9" x14ac:dyDescent="0.2">
      <c r="A867" s="2">
        <v>9</v>
      </c>
      <c r="B867" s="1" t="s">
        <v>229</v>
      </c>
      <c r="C867" s="4">
        <v>44</v>
      </c>
      <c r="D867" s="8">
        <v>2.4</v>
      </c>
      <c r="E867" s="4">
        <v>25</v>
      </c>
      <c r="F867" s="8">
        <v>2.31</v>
      </c>
      <c r="G867" s="4">
        <v>19</v>
      </c>
      <c r="H867" s="8">
        <v>2.5299999999999998</v>
      </c>
      <c r="I867" s="4">
        <v>0</v>
      </c>
    </row>
    <row r="868" spans="1:9" x14ac:dyDescent="0.2">
      <c r="A868" s="2">
        <v>9</v>
      </c>
      <c r="B868" s="1" t="s">
        <v>167</v>
      </c>
      <c r="C868" s="4">
        <v>44</v>
      </c>
      <c r="D868" s="8">
        <v>2.4</v>
      </c>
      <c r="E868" s="4">
        <v>44</v>
      </c>
      <c r="F868" s="8">
        <v>4.07</v>
      </c>
      <c r="G868" s="4">
        <v>0</v>
      </c>
      <c r="H868" s="8">
        <v>0</v>
      </c>
      <c r="I868" s="4">
        <v>0</v>
      </c>
    </row>
    <row r="869" spans="1:9" x14ac:dyDescent="0.2">
      <c r="A869" s="2">
        <v>11</v>
      </c>
      <c r="B869" s="1" t="s">
        <v>168</v>
      </c>
      <c r="C869" s="4">
        <v>43</v>
      </c>
      <c r="D869" s="8">
        <v>2.34</v>
      </c>
      <c r="E869" s="4">
        <v>43</v>
      </c>
      <c r="F869" s="8">
        <v>3.98</v>
      </c>
      <c r="G869" s="4">
        <v>0</v>
      </c>
      <c r="H869" s="8">
        <v>0</v>
      </c>
      <c r="I869" s="4">
        <v>0</v>
      </c>
    </row>
    <row r="870" spans="1:9" x14ac:dyDescent="0.2">
      <c r="A870" s="2">
        <v>12</v>
      </c>
      <c r="B870" s="1" t="s">
        <v>205</v>
      </c>
      <c r="C870" s="4">
        <v>37</v>
      </c>
      <c r="D870" s="8">
        <v>2.02</v>
      </c>
      <c r="E870" s="4">
        <v>25</v>
      </c>
      <c r="F870" s="8">
        <v>2.31</v>
      </c>
      <c r="G870" s="4">
        <v>12</v>
      </c>
      <c r="H870" s="8">
        <v>1.6</v>
      </c>
      <c r="I870" s="4">
        <v>0</v>
      </c>
    </row>
    <row r="871" spans="1:9" x14ac:dyDescent="0.2">
      <c r="A871" s="2">
        <v>13</v>
      </c>
      <c r="B871" s="1" t="s">
        <v>164</v>
      </c>
      <c r="C871" s="4">
        <v>36</v>
      </c>
      <c r="D871" s="8">
        <v>1.96</v>
      </c>
      <c r="E871" s="4">
        <v>29</v>
      </c>
      <c r="F871" s="8">
        <v>2.69</v>
      </c>
      <c r="G871" s="4">
        <v>7</v>
      </c>
      <c r="H871" s="8">
        <v>0.93</v>
      </c>
      <c r="I871" s="4">
        <v>0</v>
      </c>
    </row>
    <row r="872" spans="1:9" x14ac:dyDescent="0.2">
      <c r="A872" s="2">
        <v>14</v>
      </c>
      <c r="B872" s="1" t="s">
        <v>157</v>
      </c>
      <c r="C872" s="4">
        <v>34</v>
      </c>
      <c r="D872" s="8">
        <v>1.85</v>
      </c>
      <c r="E872" s="4">
        <v>29</v>
      </c>
      <c r="F872" s="8">
        <v>2.69</v>
      </c>
      <c r="G872" s="4">
        <v>5</v>
      </c>
      <c r="H872" s="8">
        <v>0.67</v>
      </c>
      <c r="I872" s="4">
        <v>0</v>
      </c>
    </row>
    <row r="873" spans="1:9" x14ac:dyDescent="0.2">
      <c r="A873" s="2">
        <v>15</v>
      </c>
      <c r="B873" s="1" t="s">
        <v>162</v>
      </c>
      <c r="C873" s="4">
        <v>30</v>
      </c>
      <c r="D873" s="8">
        <v>1.63</v>
      </c>
      <c r="E873" s="4">
        <v>1</v>
      </c>
      <c r="F873" s="8">
        <v>0.09</v>
      </c>
      <c r="G873" s="4">
        <v>28</v>
      </c>
      <c r="H873" s="8">
        <v>3.73</v>
      </c>
      <c r="I873" s="4">
        <v>1</v>
      </c>
    </row>
    <row r="874" spans="1:9" x14ac:dyDescent="0.2">
      <c r="A874" s="2">
        <v>16</v>
      </c>
      <c r="B874" s="1" t="s">
        <v>173</v>
      </c>
      <c r="C874" s="4">
        <v>29</v>
      </c>
      <c r="D874" s="8">
        <v>1.58</v>
      </c>
      <c r="E874" s="4">
        <v>11</v>
      </c>
      <c r="F874" s="8">
        <v>1.02</v>
      </c>
      <c r="G874" s="4">
        <v>18</v>
      </c>
      <c r="H874" s="8">
        <v>2.4</v>
      </c>
      <c r="I874" s="4">
        <v>0</v>
      </c>
    </row>
    <row r="875" spans="1:9" x14ac:dyDescent="0.2">
      <c r="A875" s="2">
        <v>17</v>
      </c>
      <c r="B875" s="1" t="s">
        <v>153</v>
      </c>
      <c r="C875" s="4">
        <v>25</v>
      </c>
      <c r="D875" s="8">
        <v>1.36</v>
      </c>
      <c r="E875" s="4">
        <v>6</v>
      </c>
      <c r="F875" s="8">
        <v>0.56000000000000005</v>
      </c>
      <c r="G875" s="4">
        <v>19</v>
      </c>
      <c r="H875" s="8">
        <v>2.5299999999999998</v>
      </c>
      <c r="I875" s="4">
        <v>0</v>
      </c>
    </row>
    <row r="876" spans="1:9" x14ac:dyDescent="0.2">
      <c r="A876" s="2">
        <v>18</v>
      </c>
      <c r="B876" s="1" t="s">
        <v>190</v>
      </c>
      <c r="C876" s="4">
        <v>24</v>
      </c>
      <c r="D876" s="8">
        <v>1.31</v>
      </c>
      <c r="E876" s="4">
        <v>5</v>
      </c>
      <c r="F876" s="8">
        <v>0.46</v>
      </c>
      <c r="G876" s="4">
        <v>19</v>
      </c>
      <c r="H876" s="8">
        <v>2.5299999999999998</v>
      </c>
      <c r="I876" s="4">
        <v>0</v>
      </c>
    </row>
    <row r="877" spans="1:9" x14ac:dyDescent="0.2">
      <c r="A877" s="2">
        <v>18</v>
      </c>
      <c r="B877" s="1" t="s">
        <v>198</v>
      </c>
      <c r="C877" s="4">
        <v>24</v>
      </c>
      <c r="D877" s="8">
        <v>1.31</v>
      </c>
      <c r="E877" s="4">
        <v>18</v>
      </c>
      <c r="F877" s="8">
        <v>1.67</v>
      </c>
      <c r="G877" s="4">
        <v>6</v>
      </c>
      <c r="H877" s="8">
        <v>0.8</v>
      </c>
      <c r="I877" s="4">
        <v>0</v>
      </c>
    </row>
    <row r="878" spans="1:9" x14ac:dyDescent="0.2">
      <c r="A878" s="2">
        <v>20</v>
      </c>
      <c r="B878" s="1" t="s">
        <v>176</v>
      </c>
      <c r="C878" s="4">
        <v>23</v>
      </c>
      <c r="D878" s="8">
        <v>1.25</v>
      </c>
      <c r="E878" s="4">
        <v>11</v>
      </c>
      <c r="F878" s="8">
        <v>1.02</v>
      </c>
      <c r="G878" s="4">
        <v>12</v>
      </c>
      <c r="H878" s="8">
        <v>1.6</v>
      </c>
      <c r="I878" s="4">
        <v>0</v>
      </c>
    </row>
    <row r="879" spans="1:9" x14ac:dyDescent="0.2">
      <c r="A879" s="1"/>
      <c r="C879" s="4"/>
      <c r="D879" s="8"/>
      <c r="E879" s="4"/>
      <c r="F879" s="8"/>
      <c r="G879" s="4"/>
      <c r="H879" s="8"/>
      <c r="I879" s="4"/>
    </row>
    <row r="880" spans="1:9" x14ac:dyDescent="0.2">
      <c r="A880" s="1" t="s">
        <v>39</v>
      </c>
      <c r="C880" s="4"/>
      <c r="D880" s="8"/>
      <c r="E880" s="4"/>
      <c r="F880" s="8"/>
      <c r="G880" s="4"/>
      <c r="H880" s="8"/>
      <c r="I880" s="4"/>
    </row>
    <row r="881" spans="1:9" x14ac:dyDescent="0.2">
      <c r="A881" s="2">
        <v>1</v>
      </c>
      <c r="B881" s="1" t="s">
        <v>169</v>
      </c>
      <c r="C881" s="4">
        <v>322</v>
      </c>
      <c r="D881" s="8">
        <v>6.12</v>
      </c>
      <c r="E881" s="4">
        <v>295</v>
      </c>
      <c r="F881" s="8">
        <v>11.66</v>
      </c>
      <c r="G881" s="4">
        <v>27</v>
      </c>
      <c r="H881" s="8">
        <v>1</v>
      </c>
      <c r="I881" s="4">
        <v>0</v>
      </c>
    </row>
    <row r="882" spans="1:9" x14ac:dyDescent="0.2">
      <c r="A882" s="2">
        <v>2</v>
      </c>
      <c r="B882" s="1" t="s">
        <v>160</v>
      </c>
      <c r="C882" s="4">
        <v>292</v>
      </c>
      <c r="D882" s="8">
        <v>5.55</v>
      </c>
      <c r="E882" s="4">
        <v>76</v>
      </c>
      <c r="F882" s="8">
        <v>3</v>
      </c>
      <c r="G882" s="4">
        <v>216</v>
      </c>
      <c r="H882" s="8">
        <v>8.02</v>
      </c>
      <c r="I882" s="4">
        <v>0</v>
      </c>
    </row>
    <row r="883" spans="1:9" x14ac:dyDescent="0.2">
      <c r="A883" s="2">
        <v>3</v>
      </c>
      <c r="B883" s="1" t="s">
        <v>171</v>
      </c>
      <c r="C883" s="4">
        <v>211</v>
      </c>
      <c r="D883" s="8">
        <v>4.01</v>
      </c>
      <c r="E883" s="4">
        <v>174</v>
      </c>
      <c r="F883" s="8">
        <v>6.88</v>
      </c>
      <c r="G883" s="4">
        <v>37</v>
      </c>
      <c r="H883" s="8">
        <v>1.37</v>
      </c>
      <c r="I883" s="4">
        <v>0</v>
      </c>
    </row>
    <row r="884" spans="1:9" x14ac:dyDescent="0.2">
      <c r="A884" s="2">
        <v>4</v>
      </c>
      <c r="B884" s="1" t="s">
        <v>170</v>
      </c>
      <c r="C884" s="4">
        <v>154</v>
      </c>
      <c r="D884" s="8">
        <v>2.93</v>
      </c>
      <c r="E884" s="4">
        <v>123</v>
      </c>
      <c r="F884" s="8">
        <v>4.8600000000000003</v>
      </c>
      <c r="G884" s="4">
        <v>31</v>
      </c>
      <c r="H884" s="8">
        <v>1.1499999999999999</v>
      </c>
      <c r="I884" s="4">
        <v>0</v>
      </c>
    </row>
    <row r="885" spans="1:9" x14ac:dyDescent="0.2">
      <c r="A885" s="2">
        <v>5</v>
      </c>
      <c r="B885" s="1" t="s">
        <v>168</v>
      </c>
      <c r="C885" s="4">
        <v>150</v>
      </c>
      <c r="D885" s="8">
        <v>2.85</v>
      </c>
      <c r="E885" s="4">
        <v>143</v>
      </c>
      <c r="F885" s="8">
        <v>5.65</v>
      </c>
      <c r="G885" s="4">
        <v>7</v>
      </c>
      <c r="H885" s="8">
        <v>0.26</v>
      </c>
      <c r="I885" s="4">
        <v>0</v>
      </c>
    </row>
    <row r="886" spans="1:9" x14ac:dyDescent="0.2">
      <c r="A886" s="2">
        <v>6</v>
      </c>
      <c r="B886" s="1" t="s">
        <v>165</v>
      </c>
      <c r="C886" s="4">
        <v>126</v>
      </c>
      <c r="D886" s="8">
        <v>2.4</v>
      </c>
      <c r="E886" s="4">
        <v>116</v>
      </c>
      <c r="F886" s="8">
        <v>4.58</v>
      </c>
      <c r="G886" s="4">
        <v>10</v>
      </c>
      <c r="H886" s="8">
        <v>0.37</v>
      </c>
      <c r="I886" s="4">
        <v>0</v>
      </c>
    </row>
    <row r="887" spans="1:9" x14ac:dyDescent="0.2">
      <c r="A887" s="2">
        <v>6</v>
      </c>
      <c r="B887" s="1" t="s">
        <v>167</v>
      </c>
      <c r="C887" s="4">
        <v>126</v>
      </c>
      <c r="D887" s="8">
        <v>2.4</v>
      </c>
      <c r="E887" s="4">
        <v>116</v>
      </c>
      <c r="F887" s="8">
        <v>4.58</v>
      </c>
      <c r="G887" s="4">
        <v>8</v>
      </c>
      <c r="H887" s="8">
        <v>0.3</v>
      </c>
      <c r="I887" s="4">
        <v>2</v>
      </c>
    </row>
    <row r="888" spans="1:9" x14ac:dyDescent="0.2">
      <c r="A888" s="2">
        <v>8</v>
      </c>
      <c r="B888" s="1" t="s">
        <v>164</v>
      </c>
      <c r="C888" s="4">
        <v>115</v>
      </c>
      <c r="D888" s="8">
        <v>2.19</v>
      </c>
      <c r="E888" s="4">
        <v>95</v>
      </c>
      <c r="F888" s="8">
        <v>3.75</v>
      </c>
      <c r="G888" s="4">
        <v>20</v>
      </c>
      <c r="H888" s="8">
        <v>0.74</v>
      </c>
      <c r="I888" s="4">
        <v>0</v>
      </c>
    </row>
    <row r="889" spans="1:9" x14ac:dyDescent="0.2">
      <c r="A889" s="2">
        <v>9</v>
      </c>
      <c r="B889" s="1" t="s">
        <v>157</v>
      </c>
      <c r="C889" s="4">
        <v>99</v>
      </c>
      <c r="D889" s="8">
        <v>1.88</v>
      </c>
      <c r="E889" s="4">
        <v>64</v>
      </c>
      <c r="F889" s="8">
        <v>2.5299999999999998</v>
      </c>
      <c r="G889" s="4">
        <v>35</v>
      </c>
      <c r="H889" s="8">
        <v>1.3</v>
      </c>
      <c r="I889" s="4">
        <v>0</v>
      </c>
    </row>
    <row r="890" spans="1:9" x14ac:dyDescent="0.2">
      <c r="A890" s="2">
        <v>10</v>
      </c>
      <c r="B890" s="1" t="s">
        <v>162</v>
      </c>
      <c r="C890" s="4">
        <v>98</v>
      </c>
      <c r="D890" s="8">
        <v>1.86</v>
      </c>
      <c r="E890" s="4">
        <v>4</v>
      </c>
      <c r="F890" s="8">
        <v>0.16</v>
      </c>
      <c r="G890" s="4">
        <v>93</v>
      </c>
      <c r="H890" s="8">
        <v>3.45</v>
      </c>
      <c r="I890" s="4">
        <v>1</v>
      </c>
    </row>
    <row r="891" spans="1:9" x14ac:dyDescent="0.2">
      <c r="A891" s="2">
        <v>11</v>
      </c>
      <c r="B891" s="1" t="s">
        <v>159</v>
      </c>
      <c r="C891" s="4">
        <v>97</v>
      </c>
      <c r="D891" s="8">
        <v>1.84</v>
      </c>
      <c r="E891" s="4">
        <v>7</v>
      </c>
      <c r="F891" s="8">
        <v>0.28000000000000003</v>
      </c>
      <c r="G891" s="4">
        <v>90</v>
      </c>
      <c r="H891" s="8">
        <v>3.34</v>
      </c>
      <c r="I891" s="4">
        <v>0</v>
      </c>
    </row>
    <row r="892" spans="1:9" x14ac:dyDescent="0.2">
      <c r="A892" s="2">
        <v>12</v>
      </c>
      <c r="B892" s="1" t="s">
        <v>166</v>
      </c>
      <c r="C892" s="4">
        <v>90</v>
      </c>
      <c r="D892" s="8">
        <v>1.71</v>
      </c>
      <c r="E892" s="4">
        <v>85</v>
      </c>
      <c r="F892" s="8">
        <v>3.36</v>
      </c>
      <c r="G892" s="4">
        <v>5</v>
      </c>
      <c r="H892" s="8">
        <v>0.19</v>
      </c>
      <c r="I892" s="4">
        <v>0</v>
      </c>
    </row>
    <row r="893" spans="1:9" x14ac:dyDescent="0.2">
      <c r="A893" s="2">
        <v>13</v>
      </c>
      <c r="B893" s="1" t="s">
        <v>215</v>
      </c>
      <c r="C893" s="4">
        <v>86</v>
      </c>
      <c r="D893" s="8">
        <v>1.63</v>
      </c>
      <c r="E893" s="4">
        <v>53</v>
      </c>
      <c r="F893" s="8">
        <v>2.09</v>
      </c>
      <c r="G893" s="4">
        <v>33</v>
      </c>
      <c r="H893" s="8">
        <v>1.22</v>
      </c>
      <c r="I893" s="4">
        <v>0</v>
      </c>
    </row>
    <row r="894" spans="1:9" x14ac:dyDescent="0.2">
      <c r="A894" s="2">
        <v>14</v>
      </c>
      <c r="B894" s="1" t="s">
        <v>190</v>
      </c>
      <c r="C894" s="4">
        <v>85</v>
      </c>
      <c r="D894" s="8">
        <v>1.62</v>
      </c>
      <c r="E894" s="4">
        <v>11</v>
      </c>
      <c r="F894" s="8">
        <v>0.43</v>
      </c>
      <c r="G894" s="4">
        <v>74</v>
      </c>
      <c r="H894" s="8">
        <v>2.75</v>
      </c>
      <c r="I894" s="4">
        <v>0</v>
      </c>
    </row>
    <row r="895" spans="1:9" x14ac:dyDescent="0.2">
      <c r="A895" s="2">
        <v>15</v>
      </c>
      <c r="B895" s="1" t="s">
        <v>152</v>
      </c>
      <c r="C895" s="4">
        <v>84</v>
      </c>
      <c r="D895" s="8">
        <v>1.6</v>
      </c>
      <c r="E895" s="4">
        <v>15</v>
      </c>
      <c r="F895" s="8">
        <v>0.59</v>
      </c>
      <c r="G895" s="4">
        <v>69</v>
      </c>
      <c r="H895" s="8">
        <v>2.56</v>
      </c>
      <c r="I895" s="4">
        <v>0</v>
      </c>
    </row>
    <row r="896" spans="1:9" x14ac:dyDescent="0.2">
      <c r="A896" s="2">
        <v>16</v>
      </c>
      <c r="B896" s="1" t="s">
        <v>156</v>
      </c>
      <c r="C896" s="4">
        <v>79</v>
      </c>
      <c r="D896" s="8">
        <v>1.5</v>
      </c>
      <c r="E896" s="4">
        <v>46</v>
      </c>
      <c r="F896" s="8">
        <v>1.82</v>
      </c>
      <c r="G896" s="4">
        <v>33</v>
      </c>
      <c r="H896" s="8">
        <v>1.22</v>
      </c>
      <c r="I896" s="4">
        <v>0</v>
      </c>
    </row>
    <row r="897" spans="1:9" x14ac:dyDescent="0.2">
      <c r="A897" s="2">
        <v>17</v>
      </c>
      <c r="B897" s="1" t="s">
        <v>196</v>
      </c>
      <c r="C897" s="4">
        <v>76</v>
      </c>
      <c r="D897" s="8">
        <v>1.44</v>
      </c>
      <c r="E897" s="4">
        <v>35</v>
      </c>
      <c r="F897" s="8">
        <v>1.38</v>
      </c>
      <c r="G897" s="4">
        <v>41</v>
      </c>
      <c r="H897" s="8">
        <v>1.52</v>
      </c>
      <c r="I897" s="4">
        <v>0</v>
      </c>
    </row>
    <row r="898" spans="1:9" x14ac:dyDescent="0.2">
      <c r="A898" s="2">
        <v>18</v>
      </c>
      <c r="B898" s="1" t="s">
        <v>153</v>
      </c>
      <c r="C898" s="4">
        <v>74</v>
      </c>
      <c r="D898" s="8">
        <v>1.41</v>
      </c>
      <c r="E898" s="4">
        <v>11</v>
      </c>
      <c r="F898" s="8">
        <v>0.43</v>
      </c>
      <c r="G898" s="4">
        <v>63</v>
      </c>
      <c r="H898" s="8">
        <v>2.34</v>
      </c>
      <c r="I898" s="4">
        <v>0</v>
      </c>
    </row>
    <row r="899" spans="1:9" x14ac:dyDescent="0.2">
      <c r="A899" s="2">
        <v>19</v>
      </c>
      <c r="B899" s="1" t="s">
        <v>158</v>
      </c>
      <c r="C899" s="4">
        <v>71</v>
      </c>
      <c r="D899" s="8">
        <v>1.35</v>
      </c>
      <c r="E899" s="4">
        <v>19</v>
      </c>
      <c r="F899" s="8">
        <v>0.75</v>
      </c>
      <c r="G899" s="4">
        <v>52</v>
      </c>
      <c r="H899" s="8">
        <v>1.93</v>
      </c>
      <c r="I899" s="4">
        <v>0</v>
      </c>
    </row>
    <row r="900" spans="1:9" x14ac:dyDescent="0.2">
      <c r="A900" s="2">
        <v>19</v>
      </c>
      <c r="B900" s="1" t="s">
        <v>161</v>
      </c>
      <c r="C900" s="4">
        <v>71</v>
      </c>
      <c r="D900" s="8">
        <v>1.35</v>
      </c>
      <c r="E900" s="4">
        <v>47</v>
      </c>
      <c r="F900" s="8">
        <v>1.86</v>
      </c>
      <c r="G900" s="4">
        <v>24</v>
      </c>
      <c r="H900" s="8">
        <v>0.89</v>
      </c>
      <c r="I900" s="4">
        <v>0</v>
      </c>
    </row>
    <row r="901" spans="1:9" x14ac:dyDescent="0.2">
      <c r="A901" s="1"/>
      <c r="C901" s="4"/>
      <c r="D901" s="8"/>
      <c r="E901" s="4"/>
      <c r="F901" s="8"/>
      <c r="G901" s="4"/>
      <c r="H901" s="8"/>
      <c r="I901" s="4"/>
    </row>
    <row r="902" spans="1:9" x14ac:dyDescent="0.2">
      <c r="A902" s="1" t="s">
        <v>40</v>
      </c>
      <c r="C902" s="4"/>
      <c r="D902" s="8"/>
      <c r="E902" s="4"/>
      <c r="F902" s="8"/>
      <c r="G902" s="4"/>
      <c r="H902" s="8"/>
      <c r="I902" s="4"/>
    </row>
    <row r="903" spans="1:9" x14ac:dyDescent="0.2">
      <c r="A903" s="2">
        <v>1</v>
      </c>
      <c r="B903" s="1" t="s">
        <v>161</v>
      </c>
      <c r="C903" s="4">
        <v>99</v>
      </c>
      <c r="D903" s="8">
        <v>5.08</v>
      </c>
      <c r="E903" s="4">
        <v>90</v>
      </c>
      <c r="F903" s="8">
        <v>7.89</v>
      </c>
      <c r="G903" s="4">
        <v>9</v>
      </c>
      <c r="H903" s="8">
        <v>1.1200000000000001</v>
      </c>
      <c r="I903" s="4">
        <v>0</v>
      </c>
    </row>
    <row r="904" spans="1:9" x14ac:dyDescent="0.2">
      <c r="A904" s="2">
        <v>2</v>
      </c>
      <c r="B904" s="1" t="s">
        <v>169</v>
      </c>
      <c r="C904" s="4">
        <v>80</v>
      </c>
      <c r="D904" s="8">
        <v>4.0999999999999996</v>
      </c>
      <c r="E904" s="4">
        <v>75</v>
      </c>
      <c r="F904" s="8">
        <v>6.58</v>
      </c>
      <c r="G904" s="4">
        <v>5</v>
      </c>
      <c r="H904" s="8">
        <v>0.62</v>
      </c>
      <c r="I904" s="4">
        <v>0</v>
      </c>
    </row>
    <row r="905" spans="1:9" x14ac:dyDescent="0.2">
      <c r="A905" s="2">
        <v>3</v>
      </c>
      <c r="B905" s="1" t="s">
        <v>160</v>
      </c>
      <c r="C905" s="4">
        <v>76</v>
      </c>
      <c r="D905" s="8">
        <v>3.9</v>
      </c>
      <c r="E905" s="4">
        <v>39</v>
      </c>
      <c r="F905" s="8">
        <v>3.42</v>
      </c>
      <c r="G905" s="4">
        <v>36</v>
      </c>
      <c r="H905" s="8">
        <v>4.49</v>
      </c>
      <c r="I905" s="4">
        <v>0</v>
      </c>
    </row>
    <row r="906" spans="1:9" x14ac:dyDescent="0.2">
      <c r="A906" s="2">
        <v>4</v>
      </c>
      <c r="B906" s="1" t="s">
        <v>170</v>
      </c>
      <c r="C906" s="4">
        <v>56</v>
      </c>
      <c r="D906" s="8">
        <v>2.87</v>
      </c>
      <c r="E906" s="4">
        <v>53</v>
      </c>
      <c r="F906" s="8">
        <v>4.6500000000000004</v>
      </c>
      <c r="G906" s="4">
        <v>3</v>
      </c>
      <c r="H906" s="8">
        <v>0.37</v>
      </c>
      <c r="I906" s="4">
        <v>0</v>
      </c>
    </row>
    <row r="907" spans="1:9" x14ac:dyDescent="0.2">
      <c r="A907" s="2">
        <v>5</v>
      </c>
      <c r="B907" s="1" t="s">
        <v>168</v>
      </c>
      <c r="C907" s="4">
        <v>51</v>
      </c>
      <c r="D907" s="8">
        <v>2.62</v>
      </c>
      <c r="E907" s="4">
        <v>49</v>
      </c>
      <c r="F907" s="8">
        <v>4.3</v>
      </c>
      <c r="G907" s="4">
        <v>2</v>
      </c>
      <c r="H907" s="8">
        <v>0.25</v>
      </c>
      <c r="I907" s="4">
        <v>0</v>
      </c>
    </row>
    <row r="908" spans="1:9" x14ac:dyDescent="0.2">
      <c r="A908" s="2">
        <v>6</v>
      </c>
      <c r="B908" s="1" t="s">
        <v>190</v>
      </c>
      <c r="C908" s="4">
        <v>47</v>
      </c>
      <c r="D908" s="8">
        <v>2.41</v>
      </c>
      <c r="E908" s="4">
        <v>16</v>
      </c>
      <c r="F908" s="8">
        <v>1.4</v>
      </c>
      <c r="G908" s="4">
        <v>31</v>
      </c>
      <c r="H908" s="8">
        <v>3.87</v>
      </c>
      <c r="I908" s="4">
        <v>0</v>
      </c>
    </row>
    <row r="909" spans="1:9" x14ac:dyDescent="0.2">
      <c r="A909" s="2">
        <v>6</v>
      </c>
      <c r="B909" s="1" t="s">
        <v>171</v>
      </c>
      <c r="C909" s="4">
        <v>47</v>
      </c>
      <c r="D909" s="8">
        <v>2.41</v>
      </c>
      <c r="E909" s="4">
        <v>45</v>
      </c>
      <c r="F909" s="8">
        <v>3.95</v>
      </c>
      <c r="G909" s="4">
        <v>2</v>
      </c>
      <c r="H909" s="8">
        <v>0.25</v>
      </c>
      <c r="I909" s="4">
        <v>0</v>
      </c>
    </row>
    <row r="910" spans="1:9" x14ac:dyDescent="0.2">
      <c r="A910" s="2">
        <v>8</v>
      </c>
      <c r="B910" s="1" t="s">
        <v>167</v>
      </c>
      <c r="C910" s="4">
        <v>45</v>
      </c>
      <c r="D910" s="8">
        <v>2.31</v>
      </c>
      <c r="E910" s="4">
        <v>44</v>
      </c>
      <c r="F910" s="8">
        <v>3.86</v>
      </c>
      <c r="G910" s="4">
        <v>1</v>
      </c>
      <c r="H910" s="8">
        <v>0.12</v>
      </c>
      <c r="I910" s="4">
        <v>0</v>
      </c>
    </row>
    <row r="911" spans="1:9" x14ac:dyDescent="0.2">
      <c r="A911" s="2">
        <v>9</v>
      </c>
      <c r="B911" s="1" t="s">
        <v>215</v>
      </c>
      <c r="C911" s="4">
        <v>43</v>
      </c>
      <c r="D911" s="8">
        <v>2.21</v>
      </c>
      <c r="E911" s="4">
        <v>29</v>
      </c>
      <c r="F911" s="8">
        <v>2.54</v>
      </c>
      <c r="G911" s="4">
        <v>14</v>
      </c>
      <c r="H911" s="8">
        <v>1.75</v>
      </c>
      <c r="I911" s="4">
        <v>0</v>
      </c>
    </row>
    <row r="912" spans="1:9" x14ac:dyDescent="0.2">
      <c r="A912" s="2">
        <v>10</v>
      </c>
      <c r="B912" s="1" t="s">
        <v>165</v>
      </c>
      <c r="C912" s="4">
        <v>42</v>
      </c>
      <c r="D912" s="8">
        <v>2.15</v>
      </c>
      <c r="E912" s="4">
        <v>40</v>
      </c>
      <c r="F912" s="8">
        <v>3.51</v>
      </c>
      <c r="G912" s="4">
        <v>2</v>
      </c>
      <c r="H912" s="8">
        <v>0.25</v>
      </c>
      <c r="I912" s="4">
        <v>0</v>
      </c>
    </row>
    <row r="913" spans="1:9" x14ac:dyDescent="0.2">
      <c r="A913" s="2">
        <v>11</v>
      </c>
      <c r="B913" s="1" t="s">
        <v>198</v>
      </c>
      <c r="C913" s="4">
        <v>40</v>
      </c>
      <c r="D913" s="8">
        <v>2.0499999999999998</v>
      </c>
      <c r="E913" s="4">
        <v>37</v>
      </c>
      <c r="F913" s="8">
        <v>3.25</v>
      </c>
      <c r="G913" s="4">
        <v>3</v>
      </c>
      <c r="H913" s="8">
        <v>0.37</v>
      </c>
      <c r="I913" s="4">
        <v>0</v>
      </c>
    </row>
    <row r="914" spans="1:9" x14ac:dyDescent="0.2">
      <c r="A914" s="2">
        <v>12</v>
      </c>
      <c r="B914" s="1" t="s">
        <v>159</v>
      </c>
      <c r="C914" s="4">
        <v>39</v>
      </c>
      <c r="D914" s="8">
        <v>2</v>
      </c>
      <c r="E914" s="4">
        <v>7</v>
      </c>
      <c r="F914" s="8">
        <v>0.61</v>
      </c>
      <c r="G914" s="4">
        <v>32</v>
      </c>
      <c r="H914" s="8">
        <v>4</v>
      </c>
      <c r="I914" s="4">
        <v>0</v>
      </c>
    </row>
    <row r="915" spans="1:9" x14ac:dyDescent="0.2">
      <c r="A915" s="2">
        <v>13</v>
      </c>
      <c r="B915" s="1" t="s">
        <v>157</v>
      </c>
      <c r="C915" s="4">
        <v>37</v>
      </c>
      <c r="D915" s="8">
        <v>1.9</v>
      </c>
      <c r="E915" s="4">
        <v>25</v>
      </c>
      <c r="F915" s="8">
        <v>2.19</v>
      </c>
      <c r="G915" s="4">
        <v>12</v>
      </c>
      <c r="H915" s="8">
        <v>1.5</v>
      </c>
      <c r="I915" s="4">
        <v>0</v>
      </c>
    </row>
    <row r="916" spans="1:9" x14ac:dyDescent="0.2">
      <c r="A916" s="2">
        <v>14</v>
      </c>
      <c r="B916" s="1" t="s">
        <v>153</v>
      </c>
      <c r="C916" s="4">
        <v>34</v>
      </c>
      <c r="D916" s="8">
        <v>1.74</v>
      </c>
      <c r="E916" s="4">
        <v>10</v>
      </c>
      <c r="F916" s="8">
        <v>0.88</v>
      </c>
      <c r="G916" s="4">
        <v>24</v>
      </c>
      <c r="H916" s="8">
        <v>3</v>
      </c>
      <c r="I916" s="4">
        <v>0</v>
      </c>
    </row>
    <row r="917" spans="1:9" x14ac:dyDescent="0.2">
      <c r="A917" s="2">
        <v>14</v>
      </c>
      <c r="B917" s="1" t="s">
        <v>199</v>
      </c>
      <c r="C917" s="4">
        <v>34</v>
      </c>
      <c r="D917" s="8">
        <v>1.74</v>
      </c>
      <c r="E917" s="4">
        <v>27</v>
      </c>
      <c r="F917" s="8">
        <v>2.37</v>
      </c>
      <c r="G917" s="4">
        <v>7</v>
      </c>
      <c r="H917" s="8">
        <v>0.87</v>
      </c>
      <c r="I917" s="4">
        <v>0</v>
      </c>
    </row>
    <row r="918" spans="1:9" x14ac:dyDescent="0.2">
      <c r="A918" s="2">
        <v>16</v>
      </c>
      <c r="B918" s="1" t="s">
        <v>152</v>
      </c>
      <c r="C918" s="4">
        <v>32</v>
      </c>
      <c r="D918" s="8">
        <v>1.64</v>
      </c>
      <c r="E918" s="4">
        <v>5</v>
      </c>
      <c r="F918" s="8">
        <v>0.44</v>
      </c>
      <c r="G918" s="4">
        <v>27</v>
      </c>
      <c r="H918" s="8">
        <v>3.37</v>
      </c>
      <c r="I918" s="4">
        <v>0</v>
      </c>
    </row>
    <row r="919" spans="1:9" x14ac:dyDescent="0.2">
      <c r="A919" s="2">
        <v>17</v>
      </c>
      <c r="B919" s="1" t="s">
        <v>164</v>
      </c>
      <c r="C919" s="4">
        <v>28</v>
      </c>
      <c r="D919" s="8">
        <v>1.44</v>
      </c>
      <c r="E919" s="4">
        <v>25</v>
      </c>
      <c r="F919" s="8">
        <v>2.19</v>
      </c>
      <c r="G919" s="4">
        <v>3</v>
      </c>
      <c r="H919" s="8">
        <v>0.37</v>
      </c>
      <c r="I919" s="4">
        <v>0</v>
      </c>
    </row>
    <row r="920" spans="1:9" x14ac:dyDescent="0.2">
      <c r="A920" s="2">
        <v>17</v>
      </c>
      <c r="B920" s="1" t="s">
        <v>166</v>
      </c>
      <c r="C920" s="4">
        <v>28</v>
      </c>
      <c r="D920" s="8">
        <v>1.44</v>
      </c>
      <c r="E920" s="4">
        <v>27</v>
      </c>
      <c r="F920" s="8">
        <v>2.37</v>
      </c>
      <c r="G920" s="4">
        <v>1</v>
      </c>
      <c r="H920" s="8">
        <v>0.12</v>
      </c>
      <c r="I920" s="4">
        <v>0</v>
      </c>
    </row>
    <row r="921" spans="1:9" x14ac:dyDescent="0.2">
      <c r="A921" s="2">
        <v>19</v>
      </c>
      <c r="B921" s="1" t="s">
        <v>230</v>
      </c>
      <c r="C921" s="4">
        <v>27</v>
      </c>
      <c r="D921" s="8">
        <v>1.39</v>
      </c>
      <c r="E921" s="4">
        <v>11</v>
      </c>
      <c r="F921" s="8">
        <v>0.96</v>
      </c>
      <c r="G921" s="4">
        <v>16</v>
      </c>
      <c r="H921" s="8">
        <v>2</v>
      </c>
      <c r="I921" s="4">
        <v>0</v>
      </c>
    </row>
    <row r="922" spans="1:9" x14ac:dyDescent="0.2">
      <c r="A922" s="2">
        <v>20</v>
      </c>
      <c r="B922" s="1" t="s">
        <v>156</v>
      </c>
      <c r="C922" s="4">
        <v>25</v>
      </c>
      <c r="D922" s="8">
        <v>1.28</v>
      </c>
      <c r="E922" s="4">
        <v>21</v>
      </c>
      <c r="F922" s="8">
        <v>1.84</v>
      </c>
      <c r="G922" s="4">
        <v>4</v>
      </c>
      <c r="H922" s="8">
        <v>0.5</v>
      </c>
      <c r="I922" s="4">
        <v>0</v>
      </c>
    </row>
    <row r="923" spans="1:9" x14ac:dyDescent="0.2">
      <c r="A923" s="1"/>
      <c r="C923" s="4"/>
      <c r="D923" s="8"/>
      <c r="E923" s="4"/>
      <c r="F923" s="8"/>
      <c r="G923" s="4"/>
      <c r="H923" s="8"/>
      <c r="I923" s="4"/>
    </row>
    <row r="924" spans="1:9" x14ac:dyDescent="0.2">
      <c r="A924" s="1" t="s">
        <v>41</v>
      </c>
      <c r="C924" s="4"/>
      <c r="D924" s="8"/>
      <c r="E924" s="4"/>
      <c r="F924" s="8"/>
      <c r="G924" s="4"/>
      <c r="H924" s="8"/>
      <c r="I924" s="4"/>
    </row>
    <row r="925" spans="1:9" x14ac:dyDescent="0.2">
      <c r="A925" s="2">
        <v>1</v>
      </c>
      <c r="B925" s="1" t="s">
        <v>160</v>
      </c>
      <c r="C925" s="4">
        <v>157</v>
      </c>
      <c r="D925" s="8">
        <v>4.2300000000000004</v>
      </c>
      <c r="E925" s="4">
        <v>47</v>
      </c>
      <c r="F925" s="8">
        <v>2.44</v>
      </c>
      <c r="G925" s="4">
        <v>110</v>
      </c>
      <c r="H925" s="8">
        <v>6.18</v>
      </c>
      <c r="I925" s="4">
        <v>0</v>
      </c>
    </row>
    <row r="926" spans="1:9" x14ac:dyDescent="0.2">
      <c r="A926" s="2">
        <v>2</v>
      </c>
      <c r="B926" s="1" t="s">
        <v>169</v>
      </c>
      <c r="C926" s="4">
        <v>145</v>
      </c>
      <c r="D926" s="8">
        <v>3.91</v>
      </c>
      <c r="E926" s="4">
        <v>134</v>
      </c>
      <c r="F926" s="8">
        <v>6.96</v>
      </c>
      <c r="G926" s="4">
        <v>11</v>
      </c>
      <c r="H926" s="8">
        <v>0.62</v>
      </c>
      <c r="I926" s="4">
        <v>0</v>
      </c>
    </row>
    <row r="927" spans="1:9" x14ac:dyDescent="0.2">
      <c r="A927" s="2">
        <v>3</v>
      </c>
      <c r="B927" s="1" t="s">
        <v>165</v>
      </c>
      <c r="C927" s="4">
        <v>127</v>
      </c>
      <c r="D927" s="8">
        <v>3.42</v>
      </c>
      <c r="E927" s="4">
        <v>122</v>
      </c>
      <c r="F927" s="8">
        <v>6.34</v>
      </c>
      <c r="G927" s="4">
        <v>5</v>
      </c>
      <c r="H927" s="8">
        <v>0.28000000000000003</v>
      </c>
      <c r="I927" s="4">
        <v>0</v>
      </c>
    </row>
    <row r="928" spans="1:9" x14ac:dyDescent="0.2">
      <c r="A928" s="2">
        <v>4</v>
      </c>
      <c r="B928" s="1" t="s">
        <v>167</v>
      </c>
      <c r="C928" s="4">
        <v>112</v>
      </c>
      <c r="D928" s="8">
        <v>3.02</v>
      </c>
      <c r="E928" s="4">
        <v>108</v>
      </c>
      <c r="F928" s="8">
        <v>5.61</v>
      </c>
      <c r="G928" s="4">
        <v>4</v>
      </c>
      <c r="H928" s="8">
        <v>0.22</v>
      </c>
      <c r="I928" s="4">
        <v>0</v>
      </c>
    </row>
    <row r="929" spans="1:9" x14ac:dyDescent="0.2">
      <c r="A929" s="2">
        <v>5</v>
      </c>
      <c r="B929" s="1" t="s">
        <v>168</v>
      </c>
      <c r="C929" s="4">
        <v>98</v>
      </c>
      <c r="D929" s="8">
        <v>2.64</v>
      </c>
      <c r="E929" s="4">
        <v>96</v>
      </c>
      <c r="F929" s="8">
        <v>4.99</v>
      </c>
      <c r="G929" s="4">
        <v>2</v>
      </c>
      <c r="H929" s="8">
        <v>0.11</v>
      </c>
      <c r="I929" s="4">
        <v>0</v>
      </c>
    </row>
    <row r="930" spans="1:9" x14ac:dyDescent="0.2">
      <c r="A930" s="2">
        <v>5</v>
      </c>
      <c r="B930" s="1" t="s">
        <v>171</v>
      </c>
      <c r="C930" s="4">
        <v>98</v>
      </c>
      <c r="D930" s="8">
        <v>2.64</v>
      </c>
      <c r="E930" s="4">
        <v>90</v>
      </c>
      <c r="F930" s="8">
        <v>4.68</v>
      </c>
      <c r="G930" s="4">
        <v>8</v>
      </c>
      <c r="H930" s="8">
        <v>0.45</v>
      </c>
      <c r="I930" s="4">
        <v>0</v>
      </c>
    </row>
    <row r="931" spans="1:9" x14ac:dyDescent="0.2">
      <c r="A931" s="2">
        <v>7</v>
      </c>
      <c r="B931" s="1" t="s">
        <v>157</v>
      </c>
      <c r="C931" s="4">
        <v>94</v>
      </c>
      <c r="D931" s="8">
        <v>2.5299999999999998</v>
      </c>
      <c r="E931" s="4">
        <v>79</v>
      </c>
      <c r="F931" s="8">
        <v>4.1100000000000003</v>
      </c>
      <c r="G931" s="4">
        <v>15</v>
      </c>
      <c r="H931" s="8">
        <v>0.84</v>
      </c>
      <c r="I931" s="4">
        <v>0</v>
      </c>
    </row>
    <row r="932" spans="1:9" x14ac:dyDescent="0.2">
      <c r="A932" s="2">
        <v>8</v>
      </c>
      <c r="B932" s="1" t="s">
        <v>153</v>
      </c>
      <c r="C932" s="4">
        <v>69</v>
      </c>
      <c r="D932" s="8">
        <v>1.86</v>
      </c>
      <c r="E932" s="4">
        <v>22</v>
      </c>
      <c r="F932" s="8">
        <v>1.1399999999999999</v>
      </c>
      <c r="G932" s="4">
        <v>47</v>
      </c>
      <c r="H932" s="8">
        <v>2.64</v>
      </c>
      <c r="I932" s="4">
        <v>0</v>
      </c>
    </row>
    <row r="933" spans="1:9" x14ac:dyDescent="0.2">
      <c r="A933" s="2">
        <v>9</v>
      </c>
      <c r="B933" s="1" t="s">
        <v>170</v>
      </c>
      <c r="C933" s="4">
        <v>67</v>
      </c>
      <c r="D933" s="8">
        <v>1.8</v>
      </c>
      <c r="E933" s="4">
        <v>51</v>
      </c>
      <c r="F933" s="8">
        <v>2.65</v>
      </c>
      <c r="G933" s="4">
        <v>12</v>
      </c>
      <c r="H933" s="8">
        <v>0.67</v>
      </c>
      <c r="I933" s="4">
        <v>4</v>
      </c>
    </row>
    <row r="934" spans="1:9" x14ac:dyDescent="0.2">
      <c r="A934" s="2">
        <v>10</v>
      </c>
      <c r="B934" s="1" t="s">
        <v>164</v>
      </c>
      <c r="C934" s="4">
        <v>62</v>
      </c>
      <c r="D934" s="8">
        <v>1.67</v>
      </c>
      <c r="E934" s="4">
        <v>54</v>
      </c>
      <c r="F934" s="8">
        <v>2.81</v>
      </c>
      <c r="G934" s="4">
        <v>8</v>
      </c>
      <c r="H934" s="8">
        <v>0.45</v>
      </c>
      <c r="I934" s="4">
        <v>0</v>
      </c>
    </row>
    <row r="935" spans="1:9" x14ac:dyDescent="0.2">
      <c r="A935" s="2">
        <v>11</v>
      </c>
      <c r="B935" s="1" t="s">
        <v>152</v>
      </c>
      <c r="C935" s="4">
        <v>60</v>
      </c>
      <c r="D935" s="8">
        <v>1.62</v>
      </c>
      <c r="E935" s="4">
        <v>12</v>
      </c>
      <c r="F935" s="8">
        <v>0.62</v>
      </c>
      <c r="G935" s="4">
        <v>48</v>
      </c>
      <c r="H935" s="8">
        <v>2.7</v>
      </c>
      <c r="I935" s="4">
        <v>0</v>
      </c>
    </row>
    <row r="936" spans="1:9" x14ac:dyDescent="0.2">
      <c r="A936" s="2">
        <v>11</v>
      </c>
      <c r="B936" s="1" t="s">
        <v>161</v>
      </c>
      <c r="C936" s="4">
        <v>60</v>
      </c>
      <c r="D936" s="8">
        <v>1.62</v>
      </c>
      <c r="E936" s="4">
        <v>41</v>
      </c>
      <c r="F936" s="8">
        <v>2.13</v>
      </c>
      <c r="G936" s="4">
        <v>19</v>
      </c>
      <c r="H936" s="8">
        <v>1.07</v>
      </c>
      <c r="I936" s="4">
        <v>0</v>
      </c>
    </row>
    <row r="937" spans="1:9" x14ac:dyDescent="0.2">
      <c r="A937" s="2">
        <v>13</v>
      </c>
      <c r="B937" s="1" t="s">
        <v>174</v>
      </c>
      <c r="C937" s="4">
        <v>59</v>
      </c>
      <c r="D937" s="8">
        <v>1.59</v>
      </c>
      <c r="E937" s="4">
        <v>19</v>
      </c>
      <c r="F937" s="8">
        <v>0.99</v>
      </c>
      <c r="G937" s="4">
        <v>40</v>
      </c>
      <c r="H937" s="8">
        <v>2.25</v>
      </c>
      <c r="I937" s="4">
        <v>0</v>
      </c>
    </row>
    <row r="938" spans="1:9" x14ac:dyDescent="0.2">
      <c r="A938" s="2">
        <v>14</v>
      </c>
      <c r="B938" s="1" t="s">
        <v>159</v>
      </c>
      <c r="C938" s="4">
        <v>54</v>
      </c>
      <c r="D938" s="8">
        <v>1.45</v>
      </c>
      <c r="E938" s="4">
        <v>12</v>
      </c>
      <c r="F938" s="8">
        <v>0.62</v>
      </c>
      <c r="G938" s="4">
        <v>42</v>
      </c>
      <c r="H938" s="8">
        <v>2.36</v>
      </c>
      <c r="I938" s="4">
        <v>0</v>
      </c>
    </row>
    <row r="939" spans="1:9" x14ac:dyDescent="0.2">
      <c r="A939" s="2">
        <v>14</v>
      </c>
      <c r="B939" s="1" t="s">
        <v>166</v>
      </c>
      <c r="C939" s="4">
        <v>54</v>
      </c>
      <c r="D939" s="8">
        <v>1.45</v>
      </c>
      <c r="E939" s="4">
        <v>51</v>
      </c>
      <c r="F939" s="8">
        <v>2.65</v>
      </c>
      <c r="G939" s="4">
        <v>3</v>
      </c>
      <c r="H939" s="8">
        <v>0.17</v>
      </c>
      <c r="I939" s="4">
        <v>0</v>
      </c>
    </row>
    <row r="940" spans="1:9" x14ac:dyDescent="0.2">
      <c r="A940" s="2">
        <v>16</v>
      </c>
      <c r="B940" s="1" t="s">
        <v>175</v>
      </c>
      <c r="C940" s="4">
        <v>53</v>
      </c>
      <c r="D940" s="8">
        <v>1.43</v>
      </c>
      <c r="E940" s="4">
        <v>22</v>
      </c>
      <c r="F940" s="8">
        <v>1.1399999999999999</v>
      </c>
      <c r="G940" s="4">
        <v>31</v>
      </c>
      <c r="H940" s="8">
        <v>1.74</v>
      </c>
      <c r="I940" s="4">
        <v>0</v>
      </c>
    </row>
    <row r="941" spans="1:9" x14ac:dyDescent="0.2">
      <c r="A941" s="2">
        <v>16</v>
      </c>
      <c r="B941" s="1" t="s">
        <v>162</v>
      </c>
      <c r="C941" s="4">
        <v>53</v>
      </c>
      <c r="D941" s="8">
        <v>1.43</v>
      </c>
      <c r="E941" s="4">
        <v>5</v>
      </c>
      <c r="F941" s="8">
        <v>0.26</v>
      </c>
      <c r="G941" s="4">
        <v>48</v>
      </c>
      <c r="H941" s="8">
        <v>2.7</v>
      </c>
      <c r="I941" s="4">
        <v>0</v>
      </c>
    </row>
    <row r="942" spans="1:9" x14ac:dyDescent="0.2">
      <c r="A942" s="2">
        <v>18</v>
      </c>
      <c r="B942" s="1" t="s">
        <v>156</v>
      </c>
      <c r="C942" s="4">
        <v>52</v>
      </c>
      <c r="D942" s="8">
        <v>1.4</v>
      </c>
      <c r="E942" s="4">
        <v>37</v>
      </c>
      <c r="F942" s="8">
        <v>1.92</v>
      </c>
      <c r="G942" s="4">
        <v>15</v>
      </c>
      <c r="H942" s="8">
        <v>0.84</v>
      </c>
      <c r="I942" s="4">
        <v>0</v>
      </c>
    </row>
    <row r="943" spans="1:9" x14ac:dyDescent="0.2">
      <c r="A943" s="2">
        <v>19</v>
      </c>
      <c r="B943" s="1" t="s">
        <v>210</v>
      </c>
      <c r="C943" s="4">
        <v>49</v>
      </c>
      <c r="D943" s="8">
        <v>1.32</v>
      </c>
      <c r="E943" s="4">
        <v>9</v>
      </c>
      <c r="F943" s="8">
        <v>0.47</v>
      </c>
      <c r="G943" s="4">
        <v>40</v>
      </c>
      <c r="H943" s="8">
        <v>2.25</v>
      </c>
      <c r="I943" s="4">
        <v>0</v>
      </c>
    </row>
    <row r="944" spans="1:9" x14ac:dyDescent="0.2">
      <c r="A944" s="2">
        <v>20</v>
      </c>
      <c r="B944" s="1" t="s">
        <v>205</v>
      </c>
      <c r="C944" s="4">
        <v>48</v>
      </c>
      <c r="D944" s="8">
        <v>1.29</v>
      </c>
      <c r="E944" s="4">
        <v>35</v>
      </c>
      <c r="F944" s="8">
        <v>1.82</v>
      </c>
      <c r="G944" s="4">
        <v>13</v>
      </c>
      <c r="H944" s="8">
        <v>0.73</v>
      </c>
      <c r="I944" s="4">
        <v>0</v>
      </c>
    </row>
    <row r="945" spans="1:9" x14ac:dyDescent="0.2">
      <c r="A945" s="2">
        <v>20</v>
      </c>
      <c r="B945" s="1" t="s">
        <v>176</v>
      </c>
      <c r="C945" s="4">
        <v>48</v>
      </c>
      <c r="D945" s="8">
        <v>1.29</v>
      </c>
      <c r="E945" s="4">
        <v>24</v>
      </c>
      <c r="F945" s="8">
        <v>1.25</v>
      </c>
      <c r="G945" s="4">
        <v>24</v>
      </c>
      <c r="H945" s="8">
        <v>1.35</v>
      </c>
      <c r="I945" s="4">
        <v>0</v>
      </c>
    </row>
    <row r="946" spans="1:9" x14ac:dyDescent="0.2">
      <c r="A946" s="1"/>
      <c r="C946" s="4"/>
      <c r="D946" s="8"/>
      <c r="E946" s="4"/>
      <c r="F946" s="8"/>
      <c r="G946" s="4"/>
      <c r="H946" s="8"/>
      <c r="I946" s="4"/>
    </row>
    <row r="947" spans="1:9" x14ac:dyDescent="0.2">
      <c r="A947" s="1" t="s">
        <v>42</v>
      </c>
      <c r="C947" s="4"/>
      <c r="D947" s="8"/>
      <c r="E947" s="4"/>
      <c r="F947" s="8"/>
      <c r="G947" s="4"/>
      <c r="H947" s="8"/>
      <c r="I947" s="4"/>
    </row>
    <row r="948" spans="1:9" x14ac:dyDescent="0.2">
      <c r="A948" s="2">
        <v>1</v>
      </c>
      <c r="B948" s="1" t="s">
        <v>169</v>
      </c>
      <c r="C948" s="4">
        <v>333</v>
      </c>
      <c r="D948" s="8">
        <v>6.28</v>
      </c>
      <c r="E948" s="4">
        <v>298</v>
      </c>
      <c r="F948" s="8">
        <v>11.31</v>
      </c>
      <c r="G948" s="4">
        <v>35</v>
      </c>
      <c r="H948" s="8">
        <v>1.33</v>
      </c>
      <c r="I948" s="4">
        <v>0</v>
      </c>
    </row>
    <row r="949" spans="1:9" x14ac:dyDescent="0.2">
      <c r="A949" s="2">
        <v>2</v>
      </c>
      <c r="B949" s="1" t="s">
        <v>160</v>
      </c>
      <c r="C949" s="4">
        <v>244</v>
      </c>
      <c r="D949" s="8">
        <v>4.5999999999999996</v>
      </c>
      <c r="E949" s="4">
        <v>72</v>
      </c>
      <c r="F949" s="8">
        <v>2.73</v>
      </c>
      <c r="G949" s="4">
        <v>172</v>
      </c>
      <c r="H949" s="8">
        <v>6.52</v>
      </c>
      <c r="I949" s="4">
        <v>0</v>
      </c>
    </row>
    <row r="950" spans="1:9" x14ac:dyDescent="0.2">
      <c r="A950" s="2">
        <v>3</v>
      </c>
      <c r="B950" s="1" t="s">
        <v>171</v>
      </c>
      <c r="C950" s="4">
        <v>209</v>
      </c>
      <c r="D950" s="8">
        <v>3.94</v>
      </c>
      <c r="E950" s="4">
        <v>183</v>
      </c>
      <c r="F950" s="8">
        <v>6.94</v>
      </c>
      <c r="G950" s="4">
        <v>26</v>
      </c>
      <c r="H950" s="8">
        <v>0.99</v>
      </c>
      <c r="I950" s="4">
        <v>0</v>
      </c>
    </row>
    <row r="951" spans="1:9" x14ac:dyDescent="0.2">
      <c r="A951" s="2">
        <v>4</v>
      </c>
      <c r="B951" s="1" t="s">
        <v>167</v>
      </c>
      <c r="C951" s="4">
        <v>189</v>
      </c>
      <c r="D951" s="8">
        <v>3.57</v>
      </c>
      <c r="E951" s="4">
        <v>179</v>
      </c>
      <c r="F951" s="8">
        <v>6.79</v>
      </c>
      <c r="G951" s="4">
        <v>10</v>
      </c>
      <c r="H951" s="8">
        <v>0.38</v>
      </c>
      <c r="I951" s="4">
        <v>0</v>
      </c>
    </row>
    <row r="952" spans="1:9" x14ac:dyDescent="0.2">
      <c r="A952" s="2">
        <v>5</v>
      </c>
      <c r="B952" s="1" t="s">
        <v>170</v>
      </c>
      <c r="C952" s="4">
        <v>186</v>
      </c>
      <c r="D952" s="8">
        <v>3.51</v>
      </c>
      <c r="E952" s="4">
        <v>149</v>
      </c>
      <c r="F952" s="8">
        <v>5.65</v>
      </c>
      <c r="G952" s="4">
        <v>37</v>
      </c>
      <c r="H952" s="8">
        <v>1.4</v>
      </c>
      <c r="I952" s="4">
        <v>0</v>
      </c>
    </row>
    <row r="953" spans="1:9" x14ac:dyDescent="0.2">
      <c r="A953" s="2">
        <v>6</v>
      </c>
      <c r="B953" s="1" t="s">
        <v>168</v>
      </c>
      <c r="C953" s="4">
        <v>169</v>
      </c>
      <c r="D953" s="8">
        <v>3.19</v>
      </c>
      <c r="E953" s="4">
        <v>162</v>
      </c>
      <c r="F953" s="8">
        <v>6.15</v>
      </c>
      <c r="G953" s="4">
        <v>7</v>
      </c>
      <c r="H953" s="8">
        <v>0.27</v>
      </c>
      <c r="I953" s="4">
        <v>0</v>
      </c>
    </row>
    <row r="954" spans="1:9" x14ac:dyDescent="0.2">
      <c r="A954" s="2">
        <v>7</v>
      </c>
      <c r="B954" s="1" t="s">
        <v>165</v>
      </c>
      <c r="C954" s="4">
        <v>111</v>
      </c>
      <c r="D954" s="8">
        <v>2.09</v>
      </c>
      <c r="E954" s="4">
        <v>108</v>
      </c>
      <c r="F954" s="8">
        <v>4.0999999999999996</v>
      </c>
      <c r="G954" s="4">
        <v>3</v>
      </c>
      <c r="H954" s="8">
        <v>0.11</v>
      </c>
      <c r="I954" s="4">
        <v>0</v>
      </c>
    </row>
    <row r="955" spans="1:9" x14ac:dyDescent="0.2">
      <c r="A955" s="2">
        <v>8</v>
      </c>
      <c r="B955" s="1" t="s">
        <v>162</v>
      </c>
      <c r="C955" s="4">
        <v>97</v>
      </c>
      <c r="D955" s="8">
        <v>1.83</v>
      </c>
      <c r="E955" s="4">
        <v>3</v>
      </c>
      <c r="F955" s="8">
        <v>0.11</v>
      </c>
      <c r="G955" s="4">
        <v>94</v>
      </c>
      <c r="H955" s="8">
        <v>3.56</v>
      </c>
      <c r="I955" s="4">
        <v>0</v>
      </c>
    </row>
    <row r="956" spans="1:9" x14ac:dyDescent="0.2">
      <c r="A956" s="2">
        <v>9</v>
      </c>
      <c r="B956" s="1" t="s">
        <v>157</v>
      </c>
      <c r="C956" s="4">
        <v>95</v>
      </c>
      <c r="D956" s="8">
        <v>1.79</v>
      </c>
      <c r="E956" s="4">
        <v>54</v>
      </c>
      <c r="F956" s="8">
        <v>2.0499999999999998</v>
      </c>
      <c r="G956" s="4">
        <v>41</v>
      </c>
      <c r="H956" s="8">
        <v>1.55</v>
      </c>
      <c r="I956" s="4">
        <v>0</v>
      </c>
    </row>
    <row r="957" spans="1:9" x14ac:dyDescent="0.2">
      <c r="A957" s="2">
        <v>10</v>
      </c>
      <c r="B957" s="1" t="s">
        <v>164</v>
      </c>
      <c r="C957" s="4">
        <v>91</v>
      </c>
      <c r="D957" s="8">
        <v>1.72</v>
      </c>
      <c r="E957" s="4">
        <v>74</v>
      </c>
      <c r="F957" s="8">
        <v>2.81</v>
      </c>
      <c r="G957" s="4">
        <v>17</v>
      </c>
      <c r="H957" s="8">
        <v>0.64</v>
      </c>
      <c r="I957" s="4">
        <v>0</v>
      </c>
    </row>
    <row r="958" spans="1:9" x14ac:dyDescent="0.2">
      <c r="A958" s="2">
        <v>11</v>
      </c>
      <c r="B958" s="1" t="s">
        <v>190</v>
      </c>
      <c r="C958" s="4">
        <v>88</v>
      </c>
      <c r="D958" s="8">
        <v>1.66</v>
      </c>
      <c r="E958" s="4">
        <v>10</v>
      </c>
      <c r="F958" s="8">
        <v>0.38</v>
      </c>
      <c r="G958" s="4">
        <v>78</v>
      </c>
      <c r="H958" s="8">
        <v>2.96</v>
      </c>
      <c r="I958" s="4">
        <v>0</v>
      </c>
    </row>
    <row r="959" spans="1:9" x14ac:dyDescent="0.2">
      <c r="A959" s="2">
        <v>11</v>
      </c>
      <c r="B959" s="1" t="s">
        <v>215</v>
      </c>
      <c r="C959" s="4">
        <v>88</v>
      </c>
      <c r="D959" s="8">
        <v>1.66</v>
      </c>
      <c r="E959" s="4">
        <v>56</v>
      </c>
      <c r="F959" s="8">
        <v>2.12</v>
      </c>
      <c r="G959" s="4">
        <v>32</v>
      </c>
      <c r="H959" s="8">
        <v>1.21</v>
      </c>
      <c r="I959" s="4">
        <v>0</v>
      </c>
    </row>
    <row r="960" spans="1:9" x14ac:dyDescent="0.2">
      <c r="A960" s="2">
        <v>13</v>
      </c>
      <c r="B960" s="1" t="s">
        <v>152</v>
      </c>
      <c r="C960" s="4">
        <v>87</v>
      </c>
      <c r="D960" s="8">
        <v>1.64</v>
      </c>
      <c r="E960" s="4">
        <v>15</v>
      </c>
      <c r="F960" s="8">
        <v>0.56999999999999995</v>
      </c>
      <c r="G960" s="4">
        <v>72</v>
      </c>
      <c r="H960" s="8">
        <v>2.73</v>
      </c>
      <c r="I960" s="4">
        <v>0</v>
      </c>
    </row>
    <row r="961" spans="1:9" x14ac:dyDescent="0.2">
      <c r="A961" s="2">
        <v>14</v>
      </c>
      <c r="B961" s="1" t="s">
        <v>210</v>
      </c>
      <c r="C961" s="4">
        <v>84</v>
      </c>
      <c r="D961" s="8">
        <v>1.59</v>
      </c>
      <c r="E961" s="4">
        <v>16</v>
      </c>
      <c r="F961" s="8">
        <v>0.61</v>
      </c>
      <c r="G961" s="4">
        <v>68</v>
      </c>
      <c r="H961" s="8">
        <v>2.58</v>
      </c>
      <c r="I961" s="4">
        <v>0</v>
      </c>
    </row>
    <row r="962" spans="1:9" x14ac:dyDescent="0.2">
      <c r="A962" s="2">
        <v>14</v>
      </c>
      <c r="B962" s="1" t="s">
        <v>158</v>
      </c>
      <c r="C962" s="4">
        <v>84</v>
      </c>
      <c r="D962" s="8">
        <v>1.59</v>
      </c>
      <c r="E962" s="4">
        <v>23</v>
      </c>
      <c r="F962" s="8">
        <v>0.87</v>
      </c>
      <c r="G962" s="4">
        <v>61</v>
      </c>
      <c r="H962" s="8">
        <v>2.31</v>
      </c>
      <c r="I962" s="4">
        <v>0</v>
      </c>
    </row>
    <row r="963" spans="1:9" x14ac:dyDescent="0.2">
      <c r="A963" s="2">
        <v>14</v>
      </c>
      <c r="B963" s="1" t="s">
        <v>196</v>
      </c>
      <c r="C963" s="4">
        <v>84</v>
      </c>
      <c r="D963" s="8">
        <v>1.59</v>
      </c>
      <c r="E963" s="4">
        <v>41</v>
      </c>
      <c r="F963" s="8">
        <v>1.56</v>
      </c>
      <c r="G963" s="4">
        <v>43</v>
      </c>
      <c r="H963" s="8">
        <v>1.63</v>
      </c>
      <c r="I963" s="4">
        <v>0</v>
      </c>
    </row>
    <row r="964" spans="1:9" x14ac:dyDescent="0.2">
      <c r="A964" s="2">
        <v>17</v>
      </c>
      <c r="B964" s="1" t="s">
        <v>159</v>
      </c>
      <c r="C964" s="4">
        <v>82</v>
      </c>
      <c r="D964" s="8">
        <v>1.55</v>
      </c>
      <c r="E964" s="4">
        <v>8</v>
      </c>
      <c r="F964" s="8">
        <v>0.3</v>
      </c>
      <c r="G964" s="4">
        <v>74</v>
      </c>
      <c r="H964" s="8">
        <v>2.81</v>
      </c>
      <c r="I964" s="4">
        <v>0</v>
      </c>
    </row>
    <row r="965" spans="1:9" x14ac:dyDescent="0.2">
      <c r="A965" s="2">
        <v>18</v>
      </c>
      <c r="B965" s="1" t="s">
        <v>155</v>
      </c>
      <c r="C965" s="4">
        <v>79</v>
      </c>
      <c r="D965" s="8">
        <v>1.49</v>
      </c>
      <c r="E965" s="4">
        <v>49</v>
      </c>
      <c r="F965" s="8">
        <v>1.86</v>
      </c>
      <c r="G965" s="4">
        <v>30</v>
      </c>
      <c r="H965" s="8">
        <v>1.1399999999999999</v>
      </c>
      <c r="I965" s="4">
        <v>0</v>
      </c>
    </row>
    <row r="966" spans="1:9" x14ac:dyDescent="0.2">
      <c r="A966" s="2">
        <v>19</v>
      </c>
      <c r="B966" s="1" t="s">
        <v>174</v>
      </c>
      <c r="C966" s="4">
        <v>75</v>
      </c>
      <c r="D966" s="8">
        <v>1.42</v>
      </c>
      <c r="E966" s="4">
        <v>11</v>
      </c>
      <c r="F966" s="8">
        <v>0.42</v>
      </c>
      <c r="G966" s="4">
        <v>64</v>
      </c>
      <c r="H966" s="8">
        <v>2.4300000000000002</v>
      </c>
      <c r="I966" s="4">
        <v>0</v>
      </c>
    </row>
    <row r="967" spans="1:9" x14ac:dyDescent="0.2">
      <c r="A967" s="2">
        <v>20</v>
      </c>
      <c r="B967" s="1" t="s">
        <v>199</v>
      </c>
      <c r="C967" s="4">
        <v>74</v>
      </c>
      <c r="D967" s="8">
        <v>1.4</v>
      </c>
      <c r="E967" s="4">
        <v>48</v>
      </c>
      <c r="F967" s="8">
        <v>1.82</v>
      </c>
      <c r="G967" s="4">
        <v>25</v>
      </c>
      <c r="H967" s="8">
        <v>0.95</v>
      </c>
      <c r="I967" s="4">
        <v>1</v>
      </c>
    </row>
    <row r="968" spans="1:9" x14ac:dyDescent="0.2">
      <c r="A968" s="1"/>
      <c r="C968" s="4"/>
      <c r="D968" s="8"/>
      <c r="E968" s="4"/>
      <c r="F968" s="8"/>
      <c r="G968" s="4"/>
      <c r="H968" s="8"/>
      <c r="I968" s="4"/>
    </row>
    <row r="969" spans="1:9" x14ac:dyDescent="0.2">
      <c r="A969" s="1" t="s">
        <v>43</v>
      </c>
      <c r="C969" s="4"/>
      <c r="D969" s="8"/>
      <c r="E969" s="4"/>
      <c r="F969" s="8"/>
      <c r="G969" s="4"/>
      <c r="H969" s="8"/>
      <c r="I969" s="4"/>
    </row>
    <row r="970" spans="1:9" x14ac:dyDescent="0.2">
      <c r="A970" s="2">
        <v>1</v>
      </c>
      <c r="B970" s="1" t="s">
        <v>160</v>
      </c>
      <c r="C970" s="4">
        <v>500</v>
      </c>
      <c r="D970" s="8">
        <v>10.27</v>
      </c>
      <c r="E970" s="4">
        <v>215</v>
      </c>
      <c r="F970" s="8">
        <v>9.7200000000000006</v>
      </c>
      <c r="G970" s="4">
        <v>284</v>
      </c>
      <c r="H970" s="8">
        <v>10.84</v>
      </c>
      <c r="I970" s="4">
        <v>1</v>
      </c>
    </row>
    <row r="971" spans="1:9" x14ac:dyDescent="0.2">
      <c r="A971" s="2">
        <v>2</v>
      </c>
      <c r="B971" s="1" t="s">
        <v>169</v>
      </c>
      <c r="C971" s="4">
        <v>237</v>
      </c>
      <c r="D971" s="8">
        <v>4.87</v>
      </c>
      <c r="E971" s="4">
        <v>212</v>
      </c>
      <c r="F971" s="8">
        <v>9.59</v>
      </c>
      <c r="G971" s="4">
        <v>25</v>
      </c>
      <c r="H971" s="8">
        <v>0.95</v>
      </c>
      <c r="I971" s="4">
        <v>0</v>
      </c>
    </row>
    <row r="972" spans="1:9" x14ac:dyDescent="0.2">
      <c r="A972" s="2">
        <v>3</v>
      </c>
      <c r="B972" s="1" t="s">
        <v>171</v>
      </c>
      <c r="C972" s="4">
        <v>156</v>
      </c>
      <c r="D972" s="8">
        <v>3.2</v>
      </c>
      <c r="E972" s="4">
        <v>138</v>
      </c>
      <c r="F972" s="8">
        <v>6.24</v>
      </c>
      <c r="G972" s="4">
        <v>18</v>
      </c>
      <c r="H972" s="8">
        <v>0.69</v>
      </c>
      <c r="I972" s="4">
        <v>0</v>
      </c>
    </row>
    <row r="973" spans="1:9" x14ac:dyDescent="0.2">
      <c r="A973" s="2">
        <v>4</v>
      </c>
      <c r="B973" s="1" t="s">
        <v>159</v>
      </c>
      <c r="C973" s="4">
        <v>152</v>
      </c>
      <c r="D973" s="8">
        <v>3.12</v>
      </c>
      <c r="E973" s="4">
        <v>29</v>
      </c>
      <c r="F973" s="8">
        <v>1.31</v>
      </c>
      <c r="G973" s="4">
        <v>123</v>
      </c>
      <c r="H973" s="8">
        <v>4.7</v>
      </c>
      <c r="I973" s="4">
        <v>0</v>
      </c>
    </row>
    <row r="974" spans="1:9" x14ac:dyDescent="0.2">
      <c r="A974" s="2">
        <v>5</v>
      </c>
      <c r="B974" s="1" t="s">
        <v>170</v>
      </c>
      <c r="C974" s="4">
        <v>144</v>
      </c>
      <c r="D974" s="8">
        <v>2.96</v>
      </c>
      <c r="E974" s="4">
        <v>111</v>
      </c>
      <c r="F974" s="8">
        <v>5.0199999999999996</v>
      </c>
      <c r="G974" s="4">
        <v>33</v>
      </c>
      <c r="H974" s="8">
        <v>1.26</v>
      </c>
      <c r="I974" s="4">
        <v>0</v>
      </c>
    </row>
    <row r="975" spans="1:9" x14ac:dyDescent="0.2">
      <c r="A975" s="2">
        <v>6</v>
      </c>
      <c r="B975" s="1" t="s">
        <v>162</v>
      </c>
      <c r="C975" s="4">
        <v>117</v>
      </c>
      <c r="D975" s="8">
        <v>2.4</v>
      </c>
      <c r="E975" s="4">
        <v>6</v>
      </c>
      <c r="F975" s="8">
        <v>0.27</v>
      </c>
      <c r="G975" s="4">
        <v>110</v>
      </c>
      <c r="H975" s="8">
        <v>4.2</v>
      </c>
      <c r="I975" s="4">
        <v>1</v>
      </c>
    </row>
    <row r="976" spans="1:9" x14ac:dyDescent="0.2">
      <c r="A976" s="2">
        <v>6</v>
      </c>
      <c r="B976" s="1" t="s">
        <v>165</v>
      </c>
      <c r="C976" s="4">
        <v>117</v>
      </c>
      <c r="D976" s="8">
        <v>2.4</v>
      </c>
      <c r="E976" s="4">
        <v>106</v>
      </c>
      <c r="F976" s="8">
        <v>4.79</v>
      </c>
      <c r="G976" s="4">
        <v>11</v>
      </c>
      <c r="H976" s="8">
        <v>0.42</v>
      </c>
      <c r="I976" s="4">
        <v>0</v>
      </c>
    </row>
    <row r="977" spans="1:9" x14ac:dyDescent="0.2">
      <c r="A977" s="2">
        <v>8</v>
      </c>
      <c r="B977" s="1" t="s">
        <v>168</v>
      </c>
      <c r="C977" s="4">
        <v>108</v>
      </c>
      <c r="D977" s="8">
        <v>2.2200000000000002</v>
      </c>
      <c r="E977" s="4">
        <v>106</v>
      </c>
      <c r="F977" s="8">
        <v>4.79</v>
      </c>
      <c r="G977" s="4">
        <v>2</v>
      </c>
      <c r="H977" s="8">
        <v>0.08</v>
      </c>
      <c r="I977" s="4">
        <v>0</v>
      </c>
    </row>
    <row r="978" spans="1:9" x14ac:dyDescent="0.2">
      <c r="A978" s="2">
        <v>9</v>
      </c>
      <c r="B978" s="1" t="s">
        <v>164</v>
      </c>
      <c r="C978" s="4">
        <v>106</v>
      </c>
      <c r="D978" s="8">
        <v>2.1800000000000002</v>
      </c>
      <c r="E978" s="4">
        <v>92</v>
      </c>
      <c r="F978" s="8">
        <v>4.16</v>
      </c>
      <c r="G978" s="4">
        <v>14</v>
      </c>
      <c r="H978" s="8">
        <v>0.53</v>
      </c>
      <c r="I978" s="4">
        <v>0</v>
      </c>
    </row>
    <row r="979" spans="1:9" x14ac:dyDescent="0.2">
      <c r="A979" s="2">
        <v>10</v>
      </c>
      <c r="B979" s="1" t="s">
        <v>167</v>
      </c>
      <c r="C979" s="4">
        <v>104</v>
      </c>
      <c r="D979" s="8">
        <v>2.14</v>
      </c>
      <c r="E979" s="4">
        <v>95</v>
      </c>
      <c r="F979" s="8">
        <v>4.3</v>
      </c>
      <c r="G979" s="4">
        <v>9</v>
      </c>
      <c r="H979" s="8">
        <v>0.34</v>
      </c>
      <c r="I979" s="4">
        <v>0</v>
      </c>
    </row>
    <row r="980" spans="1:9" x14ac:dyDescent="0.2">
      <c r="A980" s="2">
        <v>11</v>
      </c>
      <c r="B980" s="1" t="s">
        <v>161</v>
      </c>
      <c r="C980" s="4">
        <v>98</v>
      </c>
      <c r="D980" s="8">
        <v>2.0099999999999998</v>
      </c>
      <c r="E980" s="4">
        <v>66</v>
      </c>
      <c r="F980" s="8">
        <v>2.99</v>
      </c>
      <c r="G980" s="4">
        <v>32</v>
      </c>
      <c r="H980" s="8">
        <v>1.22</v>
      </c>
      <c r="I980" s="4">
        <v>0</v>
      </c>
    </row>
    <row r="981" spans="1:9" x14ac:dyDescent="0.2">
      <c r="A981" s="2">
        <v>12</v>
      </c>
      <c r="B981" s="1" t="s">
        <v>215</v>
      </c>
      <c r="C981" s="4">
        <v>84</v>
      </c>
      <c r="D981" s="8">
        <v>1.73</v>
      </c>
      <c r="E981" s="4">
        <v>47</v>
      </c>
      <c r="F981" s="8">
        <v>2.13</v>
      </c>
      <c r="G981" s="4">
        <v>37</v>
      </c>
      <c r="H981" s="8">
        <v>1.41</v>
      </c>
      <c r="I981" s="4">
        <v>0</v>
      </c>
    </row>
    <row r="982" spans="1:9" x14ac:dyDescent="0.2">
      <c r="A982" s="2">
        <v>13</v>
      </c>
      <c r="B982" s="1" t="s">
        <v>166</v>
      </c>
      <c r="C982" s="4">
        <v>83</v>
      </c>
      <c r="D982" s="8">
        <v>1.71</v>
      </c>
      <c r="E982" s="4">
        <v>81</v>
      </c>
      <c r="F982" s="8">
        <v>3.66</v>
      </c>
      <c r="G982" s="4">
        <v>2</v>
      </c>
      <c r="H982" s="8">
        <v>0.08</v>
      </c>
      <c r="I982" s="4">
        <v>0</v>
      </c>
    </row>
    <row r="983" spans="1:9" x14ac:dyDescent="0.2">
      <c r="A983" s="2">
        <v>14</v>
      </c>
      <c r="B983" s="1" t="s">
        <v>158</v>
      </c>
      <c r="C983" s="4">
        <v>80</v>
      </c>
      <c r="D983" s="8">
        <v>1.64</v>
      </c>
      <c r="E983" s="4">
        <v>14</v>
      </c>
      <c r="F983" s="8">
        <v>0.63</v>
      </c>
      <c r="G983" s="4">
        <v>66</v>
      </c>
      <c r="H983" s="8">
        <v>2.52</v>
      </c>
      <c r="I983" s="4">
        <v>0</v>
      </c>
    </row>
    <row r="984" spans="1:9" x14ac:dyDescent="0.2">
      <c r="A984" s="2">
        <v>15</v>
      </c>
      <c r="B984" s="1" t="s">
        <v>190</v>
      </c>
      <c r="C984" s="4">
        <v>74</v>
      </c>
      <c r="D984" s="8">
        <v>1.52</v>
      </c>
      <c r="E984" s="4">
        <v>5</v>
      </c>
      <c r="F984" s="8">
        <v>0.23</v>
      </c>
      <c r="G984" s="4">
        <v>69</v>
      </c>
      <c r="H984" s="8">
        <v>2.63</v>
      </c>
      <c r="I984" s="4">
        <v>0</v>
      </c>
    </row>
    <row r="985" spans="1:9" x14ac:dyDescent="0.2">
      <c r="A985" s="2">
        <v>16</v>
      </c>
      <c r="B985" s="1" t="s">
        <v>157</v>
      </c>
      <c r="C985" s="4">
        <v>71</v>
      </c>
      <c r="D985" s="8">
        <v>1.46</v>
      </c>
      <c r="E985" s="4">
        <v>49</v>
      </c>
      <c r="F985" s="8">
        <v>2.2200000000000002</v>
      </c>
      <c r="G985" s="4">
        <v>22</v>
      </c>
      <c r="H985" s="8">
        <v>0.84</v>
      </c>
      <c r="I985" s="4">
        <v>0</v>
      </c>
    </row>
    <row r="986" spans="1:9" x14ac:dyDescent="0.2">
      <c r="A986" s="2">
        <v>17</v>
      </c>
      <c r="B986" s="1" t="s">
        <v>152</v>
      </c>
      <c r="C986" s="4">
        <v>68</v>
      </c>
      <c r="D986" s="8">
        <v>1.4</v>
      </c>
      <c r="E986" s="4">
        <v>7</v>
      </c>
      <c r="F986" s="8">
        <v>0.32</v>
      </c>
      <c r="G986" s="4">
        <v>61</v>
      </c>
      <c r="H986" s="8">
        <v>2.33</v>
      </c>
      <c r="I986" s="4">
        <v>0</v>
      </c>
    </row>
    <row r="987" spans="1:9" x14ac:dyDescent="0.2">
      <c r="A987" s="2">
        <v>18</v>
      </c>
      <c r="B987" s="1" t="s">
        <v>156</v>
      </c>
      <c r="C987" s="4">
        <v>64</v>
      </c>
      <c r="D987" s="8">
        <v>1.31</v>
      </c>
      <c r="E987" s="4">
        <v>37</v>
      </c>
      <c r="F987" s="8">
        <v>1.67</v>
      </c>
      <c r="G987" s="4">
        <v>27</v>
      </c>
      <c r="H987" s="8">
        <v>1.03</v>
      </c>
      <c r="I987" s="4">
        <v>0</v>
      </c>
    </row>
    <row r="988" spans="1:9" x14ac:dyDescent="0.2">
      <c r="A988" s="2">
        <v>19</v>
      </c>
      <c r="B988" s="1" t="s">
        <v>199</v>
      </c>
      <c r="C988" s="4">
        <v>63</v>
      </c>
      <c r="D988" s="8">
        <v>1.29</v>
      </c>
      <c r="E988" s="4">
        <v>40</v>
      </c>
      <c r="F988" s="8">
        <v>1.81</v>
      </c>
      <c r="G988" s="4">
        <v>23</v>
      </c>
      <c r="H988" s="8">
        <v>0.88</v>
      </c>
      <c r="I988" s="4">
        <v>0</v>
      </c>
    </row>
    <row r="989" spans="1:9" x14ac:dyDescent="0.2">
      <c r="A989" s="2">
        <v>20</v>
      </c>
      <c r="B989" s="1" t="s">
        <v>153</v>
      </c>
      <c r="C989" s="4">
        <v>52</v>
      </c>
      <c r="D989" s="8">
        <v>1.07</v>
      </c>
      <c r="E989" s="4">
        <v>8</v>
      </c>
      <c r="F989" s="8">
        <v>0.36</v>
      </c>
      <c r="G989" s="4">
        <v>44</v>
      </c>
      <c r="H989" s="8">
        <v>1.68</v>
      </c>
      <c r="I989" s="4">
        <v>0</v>
      </c>
    </row>
    <row r="990" spans="1:9" x14ac:dyDescent="0.2">
      <c r="A990" s="1"/>
      <c r="C990" s="4"/>
      <c r="D990" s="8"/>
      <c r="E990" s="4"/>
      <c r="F990" s="8"/>
      <c r="G990" s="4"/>
      <c r="H990" s="8"/>
      <c r="I990" s="4"/>
    </row>
    <row r="991" spans="1:9" x14ac:dyDescent="0.2">
      <c r="A991" s="1" t="s">
        <v>44</v>
      </c>
      <c r="C991" s="4"/>
      <c r="D991" s="8"/>
      <c r="E991" s="4"/>
      <c r="F991" s="8"/>
      <c r="G991" s="4"/>
      <c r="H991" s="8"/>
      <c r="I991" s="4"/>
    </row>
    <row r="992" spans="1:9" x14ac:dyDescent="0.2">
      <c r="A992" s="2">
        <v>1</v>
      </c>
      <c r="B992" s="1" t="s">
        <v>160</v>
      </c>
      <c r="C992" s="4">
        <v>231</v>
      </c>
      <c r="D992" s="8">
        <v>3.46</v>
      </c>
      <c r="E992" s="4">
        <v>45</v>
      </c>
      <c r="F992" s="8">
        <v>1.33</v>
      </c>
      <c r="G992" s="4">
        <v>186</v>
      </c>
      <c r="H992" s="8">
        <v>5.66</v>
      </c>
      <c r="I992" s="4">
        <v>0</v>
      </c>
    </row>
    <row r="993" spans="1:9" x14ac:dyDescent="0.2">
      <c r="A993" s="2">
        <v>2</v>
      </c>
      <c r="B993" s="1" t="s">
        <v>169</v>
      </c>
      <c r="C993" s="4">
        <v>229</v>
      </c>
      <c r="D993" s="8">
        <v>3.43</v>
      </c>
      <c r="E993" s="4">
        <v>201</v>
      </c>
      <c r="F993" s="8">
        <v>5.96</v>
      </c>
      <c r="G993" s="4">
        <v>28</v>
      </c>
      <c r="H993" s="8">
        <v>0.85</v>
      </c>
      <c r="I993" s="4">
        <v>0</v>
      </c>
    </row>
    <row r="994" spans="1:9" x14ac:dyDescent="0.2">
      <c r="A994" s="2">
        <v>3</v>
      </c>
      <c r="B994" s="1" t="s">
        <v>171</v>
      </c>
      <c r="C994" s="4">
        <v>184</v>
      </c>
      <c r="D994" s="8">
        <v>2.76</v>
      </c>
      <c r="E994" s="4">
        <v>160</v>
      </c>
      <c r="F994" s="8">
        <v>4.74</v>
      </c>
      <c r="G994" s="4">
        <v>24</v>
      </c>
      <c r="H994" s="8">
        <v>0.73</v>
      </c>
      <c r="I994" s="4">
        <v>0</v>
      </c>
    </row>
    <row r="995" spans="1:9" x14ac:dyDescent="0.2">
      <c r="A995" s="2">
        <v>4</v>
      </c>
      <c r="B995" s="1" t="s">
        <v>159</v>
      </c>
      <c r="C995" s="4">
        <v>183</v>
      </c>
      <c r="D995" s="8">
        <v>2.74</v>
      </c>
      <c r="E995" s="4">
        <v>15</v>
      </c>
      <c r="F995" s="8">
        <v>0.44</v>
      </c>
      <c r="G995" s="4">
        <v>168</v>
      </c>
      <c r="H995" s="8">
        <v>5.1100000000000003</v>
      </c>
      <c r="I995" s="4">
        <v>0</v>
      </c>
    </row>
    <row r="996" spans="1:9" x14ac:dyDescent="0.2">
      <c r="A996" s="2">
        <v>5</v>
      </c>
      <c r="B996" s="1" t="s">
        <v>192</v>
      </c>
      <c r="C996" s="4">
        <v>177</v>
      </c>
      <c r="D996" s="8">
        <v>2.65</v>
      </c>
      <c r="E996" s="4">
        <v>86</v>
      </c>
      <c r="F996" s="8">
        <v>2.5499999999999998</v>
      </c>
      <c r="G996" s="4">
        <v>91</v>
      </c>
      <c r="H996" s="8">
        <v>2.77</v>
      </c>
      <c r="I996" s="4">
        <v>0</v>
      </c>
    </row>
    <row r="997" spans="1:9" x14ac:dyDescent="0.2">
      <c r="A997" s="2">
        <v>6</v>
      </c>
      <c r="B997" s="1" t="s">
        <v>167</v>
      </c>
      <c r="C997" s="4">
        <v>165</v>
      </c>
      <c r="D997" s="8">
        <v>2.4700000000000002</v>
      </c>
      <c r="E997" s="4">
        <v>156</v>
      </c>
      <c r="F997" s="8">
        <v>4.62</v>
      </c>
      <c r="G997" s="4">
        <v>9</v>
      </c>
      <c r="H997" s="8">
        <v>0.27</v>
      </c>
      <c r="I997" s="4">
        <v>0</v>
      </c>
    </row>
    <row r="998" spans="1:9" x14ac:dyDescent="0.2">
      <c r="A998" s="2">
        <v>7</v>
      </c>
      <c r="B998" s="1" t="s">
        <v>168</v>
      </c>
      <c r="C998" s="4">
        <v>126</v>
      </c>
      <c r="D998" s="8">
        <v>1.89</v>
      </c>
      <c r="E998" s="4">
        <v>121</v>
      </c>
      <c r="F998" s="8">
        <v>3.59</v>
      </c>
      <c r="G998" s="4">
        <v>5</v>
      </c>
      <c r="H998" s="8">
        <v>0.15</v>
      </c>
      <c r="I998" s="4">
        <v>0</v>
      </c>
    </row>
    <row r="999" spans="1:9" x14ac:dyDescent="0.2">
      <c r="A999" s="2">
        <v>8</v>
      </c>
      <c r="B999" s="1" t="s">
        <v>170</v>
      </c>
      <c r="C999" s="4">
        <v>125</v>
      </c>
      <c r="D999" s="8">
        <v>1.87</v>
      </c>
      <c r="E999" s="4">
        <v>111</v>
      </c>
      <c r="F999" s="8">
        <v>3.29</v>
      </c>
      <c r="G999" s="4">
        <v>14</v>
      </c>
      <c r="H999" s="8">
        <v>0.43</v>
      </c>
      <c r="I999" s="4">
        <v>0</v>
      </c>
    </row>
    <row r="1000" spans="1:9" x14ac:dyDescent="0.2">
      <c r="A1000" s="2">
        <v>9</v>
      </c>
      <c r="B1000" s="1" t="s">
        <v>165</v>
      </c>
      <c r="C1000" s="4">
        <v>115</v>
      </c>
      <c r="D1000" s="8">
        <v>1.72</v>
      </c>
      <c r="E1000" s="4">
        <v>108</v>
      </c>
      <c r="F1000" s="8">
        <v>3.2</v>
      </c>
      <c r="G1000" s="4">
        <v>7</v>
      </c>
      <c r="H1000" s="8">
        <v>0.21</v>
      </c>
      <c r="I1000" s="4">
        <v>0</v>
      </c>
    </row>
    <row r="1001" spans="1:9" x14ac:dyDescent="0.2">
      <c r="A1001" s="2">
        <v>10</v>
      </c>
      <c r="B1001" s="1" t="s">
        <v>190</v>
      </c>
      <c r="C1001" s="4">
        <v>114</v>
      </c>
      <c r="D1001" s="8">
        <v>1.71</v>
      </c>
      <c r="E1001" s="4">
        <v>39</v>
      </c>
      <c r="F1001" s="8">
        <v>1.1599999999999999</v>
      </c>
      <c r="G1001" s="4">
        <v>75</v>
      </c>
      <c r="H1001" s="8">
        <v>2.2799999999999998</v>
      </c>
      <c r="I1001" s="4">
        <v>0</v>
      </c>
    </row>
    <row r="1002" spans="1:9" x14ac:dyDescent="0.2">
      <c r="A1002" s="2">
        <v>11</v>
      </c>
      <c r="B1002" s="1" t="s">
        <v>157</v>
      </c>
      <c r="C1002" s="4">
        <v>113</v>
      </c>
      <c r="D1002" s="8">
        <v>1.69</v>
      </c>
      <c r="E1002" s="4">
        <v>91</v>
      </c>
      <c r="F1002" s="8">
        <v>2.7</v>
      </c>
      <c r="G1002" s="4">
        <v>21</v>
      </c>
      <c r="H1002" s="8">
        <v>0.64</v>
      </c>
      <c r="I1002" s="4">
        <v>1</v>
      </c>
    </row>
    <row r="1003" spans="1:9" x14ac:dyDescent="0.2">
      <c r="A1003" s="2">
        <v>12</v>
      </c>
      <c r="B1003" s="1" t="s">
        <v>161</v>
      </c>
      <c r="C1003" s="4">
        <v>109</v>
      </c>
      <c r="D1003" s="8">
        <v>1.63</v>
      </c>
      <c r="E1003" s="4">
        <v>78</v>
      </c>
      <c r="F1003" s="8">
        <v>2.31</v>
      </c>
      <c r="G1003" s="4">
        <v>31</v>
      </c>
      <c r="H1003" s="8">
        <v>0.94</v>
      </c>
      <c r="I1003" s="4">
        <v>0</v>
      </c>
    </row>
    <row r="1004" spans="1:9" x14ac:dyDescent="0.2">
      <c r="A1004" s="2">
        <v>13</v>
      </c>
      <c r="B1004" s="1" t="s">
        <v>162</v>
      </c>
      <c r="C1004" s="4">
        <v>105</v>
      </c>
      <c r="D1004" s="8">
        <v>1.57</v>
      </c>
      <c r="E1004" s="4">
        <v>1</v>
      </c>
      <c r="F1004" s="8">
        <v>0.03</v>
      </c>
      <c r="G1004" s="4">
        <v>102</v>
      </c>
      <c r="H1004" s="8">
        <v>3.1</v>
      </c>
      <c r="I1004" s="4">
        <v>0</v>
      </c>
    </row>
    <row r="1005" spans="1:9" x14ac:dyDescent="0.2">
      <c r="A1005" s="2">
        <v>14</v>
      </c>
      <c r="B1005" s="1" t="s">
        <v>232</v>
      </c>
      <c r="C1005" s="4">
        <v>102</v>
      </c>
      <c r="D1005" s="8">
        <v>1.53</v>
      </c>
      <c r="E1005" s="4">
        <v>37</v>
      </c>
      <c r="F1005" s="8">
        <v>1.1000000000000001</v>
      </c>
      <c r="G1005" s="4">
        <v>65</v>
      </c>
      <c r="H1005" s="8">
        <v>1.98</v>
      </c>
      <c r="I1005" s="4">
        <v>0</v>
      </c>
    </row>
    <row r="1006" spans="1:9" x14ac:dyDescent="0.2">
      <c r="A1006" s="2">
        <v>15</v>
      </c>
      <c r="B1006" s="1" t="s">
        <v>166</v>
      </c>
      <c r="C1006" s="4">
        <v>101</v>
      </c>
      <c r="D1006" s="8">
        <v>1.51</v>
      </c>
      <c r="E1006" s="4">
        <v>101</v>
      </c>
      <c r="F1006" s="8">
        <v>2.99</v>
      </c>
      <c r="G1006" s="4">
        <v>0</v>
      </c>
      <c r="H1006" s="8">
        <v>0</v>
      </c>
      <c r="I1006" s="4">
        <v>0</v>
      </c>
    </row>
    <row r="1007" spans="1:9" x14ac:dyDescent="0.2">
      <c r="A1007" s="2">
        <v>16</v>
      </c>
      <c r="B1007" s="1" t="s">
        <v>164</v>
      </c>
      <c r="C1007" s="4">
        <v>90</v>
      </c>
      <c r="D1007" s="8">
        <v>1.35</v>
      </c>
      <c r="E1007" s="4">
        <v>86</v>
      </c>
      <c r="F1007" s="8">
        <v>2.5499999999999998</v>
      </c>
      <c r="G1007" s="4">
        <v>4</v>
      </c>
      <c r="H1007" s="8">
        <v>0.12</v>
      </c>
      <c r="I1007" s="4">
        <v>0</v>
      </c>
    </row>
    <row r="1008" spans="1:9" x14ac:dyDescent="0.2">
      <c r="A1008" s="2">
        <v>17</v>
      </c>
      <c r="B1008" s="1" t="s">
        <v>231</v>
      </c>
      <c r="C1008" s="4">
        <v>86</v>
      </c>
      <c r="D1008" s="8">
        <v>1.29</v>
      </c>
      <c r="E1008" s="4">
        <v>41</v>
      </c>
      <c r="F1008" s="8">
        <v>1.22</v>
      </c>
      <c r="G1008" s="4">
        <v>45</v>
      </c>
      <c r="H1008" s="8">
        <v>1.37</v>
      </c>
      <c r="I1008" s="4">
        <v>0</v>
      </c>
    </row>
    <row r="1009" spans="1:9" x14ac:dyDescent="0.2">
      <c r="A1009" s="2">
        <v>17</v>
      </c>
      <c r="B1009" s="1" t="s">
        <v>202</v>
      </c>
      <c r="C1009" s="4">
        <v>86</v>
      </c>
      <c r="D1009" s="8">
        <v>1.29</v>
      </c>
      <c r="E1009" s="4">
        <v>33</v>
      </c>
      <c r="F1009" s="8">
        <v>0.98</v>
      </c>
      <c r="G1009" s="4">
        <v>53</v>
      </c>
      <c r="H1009" s="8">
        <v>1.61</v>
      </c>
      <c r="I1009" s="4">
        <v>0</v>
      </c>
    </row>
    <row r="1010" spans="1:9" x14ac:dyDescent="0.2">
      <c r="A1010" s="2">
        <v>17</v>
      </c>
      <c r="B1010" s="1" t="s">
        <v>156</v>
      </c>
      <c r="C1010" s="4">
        <v>86</v>
      </c>
      <c r="D1010" s="8">
        <v>1.29</v>
      </c>
      <c r="E1010" s="4">
        <v>62</v>
      </c>
      <c r="F1010" s="8">
        <v>1.84</v>
      </c>
      <c r="G1010" s="4">
        <v>22</v>
      </c>
      <c r="H1010" s="8">
        <v>0.67</v>
      </c>
      <c r="I1010" s="4">
        <v>2</v>
      </c>
    </row>
    <row r="1011" spans="1:9" x14ac:dyDescent="0.2">
      <c r="A1011" s="2">
        <v>20</v>
      </c>
      <c r="B1011" s="1" t="s">
        <v>198</v>
      </c>
      <c r="C1011" s="4">
        <v>84</v>
      </c>
      <c r="D1011" s="8">
        <v>1.26</v>
      </c>
      <c r="E1011" s="4">
        <v>66</v>
      </c>
      <c r="F1011" s="8">
        <v>1.96</v>
      </c>
      <c r="G1011" s="4">
        <v>18</v>
      </c>
      <c r="H1011" s="8">
        <v>0.55000000000000004</v>
      </c>
      <c r="I1011" s="4">
        <v>0</v>
      </c>
    </row>
    <row r="1012" spans="1:9" x14ac:dyDescent="0.2">
      <c r="A1012" s="1"/>
      <c r="C1012" s="4"/>
      <c r="D1012" s="8"/>
      <c r="E1012" s="4"/>
      <c r="F1012" s="8"/>
      <c r="G1012" s="4"/>
      <c r="H1012" s="8"/>
      <c r="I1012" s="4"/>
    </row>
    <row r="1013" spans="1:9" x14ac:dyDescent="0.2">
      <c r="A1013" s="1" t="s">
        <v>45</v>
      </c>
      <c r="C1013" s="4"/>
      <c r="D1013" s="8"/>
      <c r="E1013" s="4"/>
      <c r="F1013" s="8"/>
      <c r="G1013" s="4"/>
      <c r="H1013" s="8"/>
      <c r="I1013" s="4"/>
    </row>
    <row r="1014" spans="1:9" x14ac:dyDescent="0.2">
      <c r="A1014" s="2">
        <v>1</v>
      </c>
      <c r="B1014" s="1" t="s">
        <v>229</v>
      </c>
      <c r="C1014" s="4">
        <v>116</v>
      </c>
      <c r="D1014" s="8">
        <v>4.4800000000000004</v>
      </c>
      <c r="E1014" s="4">
        <v>62</v>
      </c>
      <c r="F1014" s="8">
        <v>4.6900000000000004</v>
      </c>
      <c r="G1014" s="4">
        <v>54</v>
      </c>
      <c r="H1014" s="8">
        <v>4.3</v>
      </c>
      <c r="I1014" s="4">
        <v>0</v>
      </c>
    </row>
    <row r="1015" spans="1:9" x14ac:dyDescent="0.2">
      <c r="A1015" s="2">
        <v>2</v>
      </c>
      <c r="B1015" s="1" t="s">
        <v>169</v>
      </c>
      <c r="C1015" s="4">
        <v>111</v>
      </c>
      <c r="D1015" s="8">
        <v>4.29</v>
      </c>
      <c r="E1015" s="4">
        <v>95</v>
      </c>
      <c r="F1015" s="8">
        <v>7.19</v>
      </c>
      <c r="G1015" s="4">
        <v>16</v>
      </c>
      <c r="H1015" s="8">
        <v>1.27</v>
      </c>
      <c r="I1015" s="4">
        <v>0</v>
      </c>
    </row>
    <row r="1016" spans="1:9" x14ac:dyDescent="0.2">
      <c r="A1016" s="2">
        <v>3</v>
      </c>
      <c r="B1016" s="1" t="s">
        <v>160</v>
      </c>
      <c r="C1016" s="4">
        <v>69</v>
      </c>
      <c r="D1016" s="8">
        <v>2.67</v>
      </c>
      <c r="E1016" s="4">
        <v>16</v>
      </c>
      <c r="F1016" s="8">
        <v>1.21</v>
      </c>
      <c r="G1016" s="4">
        <v>53</v>
      </c>
      <c r="H1016" s="8">
        <v>4.22</v>
      </c>
      <c r="I1016" s="4">
        <v>0</v>
      </c>
    </row>
    <row r="1017" spans="1:9" x14ac:dyDescent="0.2">
      <c r="A1017" s="2">
        <v>3</v>
      </c>
      <c r="B1017" s="1" t="s">
        <v>171</v>
      </c>
      <c r="C1017" s="4">
        <v>69</v>
      </c>
      <c r="D1017" s="8">
        <v>2.67</v>
      </c>
      <c r="E1017" s="4">
        <v>63</v>
      </c>
      <c r="F1017" s="8">
        <v>4.7699999999999996</v>
      </c>
      <c r="G1017" s="4">
        <v>6</v>
      </c>
      <c r="H1017" s="8">
        <v>0.48</v>
      </c>
      <c r="I1017" s="4">
        <v>0</v>
      </c>
    </row>
    <row r="1018" spans="1:9" x14ac:dyDescent="0.2">
      <c r="A1018" s="2">
        <v>5</v>
      </c>
      <c r="B1018" s="1" t="s">
        <v>168</v>
      </c>
      <c r="C1018" s="4">
        <v>57</v>
      </c>
      <c r="D1018" s="8">
        <v>2.2000000000000002</v>
      </c>
      <c r="E1018" s="4">
        <v>54</v>
      </c>
      <c r="F1018" s="8">
        <v>4.09</v>
      </c>
      <c r="G1018" s="4">
        <v>3</v>
      </c>
      <c r="H1018" s="8">
        <v>0.24</v>
      </c>
      <c r="I1018" s="4">
        <v>0</v>
      </c>
    </row>
    <row r="1019" spans="1:9" x14ac:dyDescent="0.2">
      <c r="A1019" s="2">
        <v>6</v>
      </c>
      <c r="B1019" s="1" t="s">
        <v>167</v>
      </c>
      <c r="C1019" s="4">
        <v>56</v>
      </c>
      <c r="D1019" s="8">
        <v>2.16</v>
      </c>
      <c r="E1019" s="4">
        <v>49</v>
      </c>
      <c r="F1019" s="8">
        <v>3.71</v>
      </c>
      <c r="G1019" s="4">
        <v>7</v>
      </c>
      <c r="H1019" s="8">
        <v>0.56000000000000005</v>
      </c>
      <c r="I1019" s="4">
        <v>0</v>
      </c>
    </row>
    <row r="1020" spans="1:9" x14ac:dyDescent="0.2">
      <c r="A1020" s="2">
        <v>7</v>
      </c>
      <c r="B1020" s="1" t="s">
        <v>164</v>
      </c>
      <c r="C1020" s="4">
        <v>55</v>
      </c>
      <c r="D1020" s="8">
        <v>2.13</v>
      </c>
      <c r="E1020" s="4">
        <v>53</v>
      </c>
      <c r="F1020" s="8">
        <v>4.01</v>
      </c>
      <c r="G1020" s="4">
        <v>2</v>
      </c>
      <c r="H1020" s="8">
        <v>0.16</v>
      </c>
      <c r="I1020" s="4">
        <v>0</v>
      </c>
    </row>
    <row r="1021" spans="1:9" x14ac:dyDescent="0.2">
      <c r="A1021" s="2">
        <v>8</v>
      </c>
      <c r="B1021" s="1" t="s">
        <v>165</v>
      </c>
      <c r="C1021" s="4">
        <v>54</v>
      </c>
      <c r="D1021" s="8">
        <v>2.09</v>
      </c>
      <c r="E1021" s="4">
        <v>45</v>
      </c>
      <c r="F1021" s="8">
        <v>3.41</v>
      </c>
      <c r="G1021" s="4">
        <v>9</v>
      </c>
      <c r="H1021" s="8">
        <v>0.72</v>
      </c>
      <c r="I1021" s="4">
        <v>0</v>
      </c>
    </row>
    <row r="1022" spans="1:9" x14ac:dyDescent="0.2">
      <c r="A1022" s="2">
        <v>8</v>
      </c>
      <c r="B1022" s="1" t="s">
        <v>166</v>
      </c>
      <c r="C1022" s="4">
        <v>54</v>
      </c>
      <c r="D1022" s="8">
        <v>2.09</v>
      </c>
      <c r="E1022" s="4">
        <v>50</v>
      </c>
      <c r="F1022" s="8">
        <v>3.79</v>
      </c>
      <c r="G1022" s="4">
        <v>4</v>
      </c>
      <c r="H1022" s="8">
        <v>0.32</v>
      </c>
      <c r="I1022" s="4">
        <v>0</v>
      </c>
    </row>
    <row r="1023" spans="1:9" x14ac:dyDescent="0.2">
      <c r="A1023" s="2">
        <v>10</v>
      </c>
      <c r="B1023" s="1" t="s">
        <v>155</v>
      </c>
      <c r="C1023" s="4">
        <v>48</v>
      </c>
      <c r="D1023" s="8">
        <v>1.85</v>
      </c>
      <c r="E1023" s="4">
        <v>14</v>
      </c>
      <c r="F1023" s="8">
        <v>1.06</v>
      </c>
      <c r="G1023" s="4">
        <v>34</v>
      </c>
      <c r="H1023" s="8">
        <v>2.7</v>
      </c>
      <c r="I1023" s="4">
        <v>0</v>
      </c>
    </row>
    <row r="1024" spans="1:9" x14ac:dyDescent="0.2">
      <c r="A1024" s="2">
        <v>11</v>
      </c>
      <c r="B1024" s="1" t="s">
        <v>215</v>
      </c>
      <c r="C1024" s="4">
        <v>46</v>
      </c>
      <c r="D1024" s="8">
        <v>1.78</v>
      </c>
      <c r="E1024" s="4">
        <v>38</v>
      </c>
      <c r="F1024" s="8">
        <v>2.88</v>
      </c>
      <c r="G1024" s="4">
        <v>8</v>
      </c>
      <c r="H1024" s="8">
        <v>0.64</v>
      </c>
      <c r="I1024" s="4">
        <v>0</v>
      </c>
    </row>
    <row r="1025" spans="1:9" x14ac:dyDescent="0.2">
      <c r="A1025" s="2">
        <v>12</v>
      </c>
      <c r="B1025" s="1" t="s">
        <v>190</v>
      </c>
      <c r="C1025" s="4">
        <v>43</v>
      </c>
      <c r="D1025" s="8">
        <v>1.66</v>
      </c>
      <c r="E1025" s="4">
        <v>2</v>
      </c>
      <c r="F1025" s="8">
        <v>0.15</v>
      </c>
      <c r="G1025" s="4">
        <v>41</v>
      </c>
      <c r="H1025" s="8">
        <v>3.26</v>
      </c>
      <c r="I1025" s="4">
        <v>0</v>
      </c>
    </row>
    <row r="1026" spans="1:9" x14ac:dyDescent="0.2">
      <c r="A1026" s="2">
        <v>13</v>
      </c>
      <c r="B1026" s="1" t="s">
        <v>156</v>
      </c>
      <c r="C1026" s="4">
        <v>42</v>
      </c>
      <c r="D1026" s="8">
        <v>1.62</v>
      </c>
      <c r="E1026" s="4">
        <v>35</v>
      </c>
      <c r="F1026" s="8">
        <v>2.65</v>
      </c>
      <c r="G1026" s="4">
        <v>7</v>
      </c>
      <c r="H1026" s="8">
        <v>0.56000000000000005</v>
      </c>
      <c r="I1026" s="4">
        <v>0</v>
      </c>
    </row>
    <row r="1027" spans="1:9" x14ac:dyDescent="0.2">
      <c r="A1027" s="2">
        <v>13</v>
      </c>
      <c r="B1027" s="1" t="s">
        <v>170</v>
      </c>
      <c r="C1027" s="4">
        <v>42</v>
      </c>
      <c r="D1027" s="8">
        <v>1.62</v>
      </c>
      <c r="E1027" s="4">
        <v>34</v>
      </c>
      <c r="F1027" s="8">
        <v>2.57</v>
      </c>
      <c r="G1027" s="4">
        <v>8</v>
      </c>
      <c r="H1027" s="8">
        <v>0.64</v>
      </c>
      <c r="I1027" s="4">
        <v>0</v>
      </c>
    </row>
    <row r="1028" spans="1:9" x14ac:dyDescent="0.2">
      <c r="A1028" s="2">
        <v>15</v>
      </c>
      <c r="B1028" s="1" t="s">
        <v>157</v>
      </c>
      <c r="C1028" s="4">
        <v>41</v>
      </c>
      <c r="D1028" s="8">
        <v>1.58</v>
      </c>
      <c r="E1028" s="4">
        <v>32</v>
      </c>
      <c r="F1028" s="8">
        <v>2.42</v>
      </c>
      <c r="G1028" s="4">
        <v>9</v>
      </c>
      <c r="H1028" s="8">
        <v>0.72</v>
      </c>
      <c r="I1028" s="4">
        <v>0</v>
      </c>
    </row>
    <row r="1029" spans="1:9" x14ac:dyDescent="0.2">
      <c r="A1029" s="2">
        <v>15</v>
      </c>
      <c r="B1029" s="1" t="s">
        <v>159</v>
      </c>
      <c r="C1029" s="4">
        <v>41</v>
      </c>
      <c r="D1029" s="8">
        <v>1.58</v>
      </c>
      <c r="E1029" s="4">
        <v>4</v>
      </c>
      <c r="F1029" s="8">
        <v>0.3</v>
      </c>
      <c r="G1029" s="4">
        <v>36</v>
      </c>
      <c r="H1029" s="8">
        <v>2.86</v>
      </c>
      <c r="I1029" s="4">
        <v>1</v>
      </c>
    </row>
    <row r="1030" spans="1:9" x14ac:dyDescent="0.2">
      <c r="A1030" s="2">
        <v>17</v>
      </c>
      <c r="B1030" s="1" t="s">
        <v>153</v>
      </c>
      <c r="C1030" s="4">
        <v>39</v>
      </c>
      <c r="D1030" s="8">
        <v>1.51</v>
      </c>
      <c r="E1030" s="4">
        <v>17</v>
      </c>
      <c r="F1030" s="8">
        <v>1.29</v>
      </c>
      <c r="G1030" s="4">
        <v>22</v>
      </c>
      <c r="H1030" s="8">
        <v>1.75</v>
      </c>
      <c r="I1030" s="4">
        <v>0</v>
      </c>
    </row>
    <row r="1031" spans="1:9" x14ac:dyDescent="0.2">
      <c r="A1031" s="2">
        <v>18</v>
      </c>
      <c r="B1031" s="1" t="s">
        <v>161</v>
      </c>
      <c r="C1031" s="4">
        <v>38</v>
      </c>
      <c r="D1031" s="8">
        <v>1.47</v>
      </c>
      <c r="E1031" s="4">
        <v>21</v>
      </c>
      <c r="F1031" s="8">
        <v>1.59</v>
      </c>
      <c r="G1031" s="4">
        <v>17</v>
      </c>
      <c r="H1031" s="8">
        <v>1.35</v>
      </c>
      <c r="I1031" s="4">
        <v>0</v>
      </c>
    </row>
    <row r="1032" spans="1:9" x14ac:dyDescent="0.2">
      <c r="A1032" s="2">
        <v>19</v>
      </c>
      <c r="B1032" s="1" t="s">
        <v>198</v>
      </c>
      <c r="C1032" s="4">
        <v>36</v>
      </c>
      <c r="D1032" s="8">
        <v>1.39</v>
      </c>
      <c r="E1032" s="4">
        <v>33</v>
      </c>
      <c r="F1032" s="8">
        <v>2.5</v>
      </c>
      <c r="G1032" s="4">
        <v>3</v>
      </c>
      <c r="H1032" s="8">
        <v>0.24</v>
      </c>
      <c r="I1032" s="4">
        <v>0</v>
      </c>
    </row>
    <row r="1033" spans="1:9" x14ac:dyDescent="0.2">
      <c r="A1033" s="2">
        <v>20</v>
      </c>
      <c r="B1033" s="1" t="s">
        <v>152</v>
      </c>
      <c r="C1033" s="4">
        <v>35</v>
      </c>
      <c r="D1033" s="8">
        <v>1.35</v>
      </c>
      <c r="E1033" s="4">
        <v>6</v>
      </c>
      <c r="F1033" s="8">
        <v>0.45</v>
      </c>
      <c r="G1033" s="4">
        <v>29</v>
      </c>
      <c r="H1033" s="8">
        <v>2.31</v>
      </c>
      <c r="I1033" s="4">
        <v>0</v>
      </c>
    </row>
    <row r="1034" spans="1:9" x14ac:dyDescent="0.2">
      <c r="A1034" s="2">
        <v>20</v>
      </c>
      <c r="B1034" s="1" t="s">
        <v>176</v>
      </c>
      <c r="C1034" s="4">
        <v>35</v>
      </c>
      <c r="D1034" s="8">
        <v>1.35</v>
      </c>
      <c r="E1034" s="4">
        <v>19</v>
      </c>
      <c r="F1034" s="8">
        <v>1.44</v>
      </c>
      <c r="G1034" s="4">
        <v>16</v>
      </c>
      <c r="H1034" s="8">
        <v>1.27</v>
      </c>
      <c r="I1034" s="4">
        <v>0</v>
      </c>
    </row>
    <row r="1035" spans="1:9" x14ac:dyDescent="0.2">
      <c r="A1035" s="1"/>
      <c r="C1035" s="4"/>
      <c r="D1035" s="8"/>
      <c r="E1035" s="4"/>
      <c r="F1035" s="8"/>
      <c r="G1035" s="4"/>
      <c r="H1035" s="8"/>
      <c r="I1035" s="4"/>
    </row>
    <row r="1036" spans="1:9" x14ac:dyDescent="0.2">
      <c r="A1036" s="1" t="s">
        <v>46</v>
      </c>
      <c r="C1036" s="4"/>
      <c r="D1036" s="8"/>
      <c r="E1036" s="4"/>
      <c r="F1036" s="8"/>
      <c r="G1036" s="4"/>
      <c r="H1036" s="8"/>
      <c r="I1036" s="4"/>
    </row>
    <row r="1037" spans="1:9" x14ac:dyDescent="0.2">
      <c r="A1037" s="2">
        <v>1</v>
      </c>
      <c r="B1037" s="1" t="s">
        <v>160</v>
      </c>
      <c r="C1037" s="4">
        <v>141</v>
      </c>
      <c r="D1037" s="8">
        <v>7.05</v>
      </c>
      <c r="E1037" s="4">
        <v>89</v>
      </c>
      <c r="F1037" s="8">
        <v>8.2799999999999994</v>
      </c>
      <c r="G1037" s="4">
        <v>52</v>
      </c>
      <c r="H1037" s="8">
        <v>5.7</v>
      </c>
      <c r="I1037" s="4">
        <v>0</v>
      </c>
    </row>
    <row r="1038" spans="1:9" x14ac:dyDescent="0.2">
      <c r="A1038" s="2">
        <v>2</v>
      </c>
      <c r="B1038" s="1" t="s">
        <v>161</v>
      </c>
      <c r="C1038" s="4">
        <v>111</v>
      </c>
      <c r="D1038" s="8">
        <v>5.55</v>
      </c>
      <c r="E1038" s="4">
        <v>104</v>
      </c>
      <c r="F1038" s="8">
        <v>9.67</v>
      </c>
      <c r="G1038" s="4">
        <v>7</v>
      </c>
      <c r="H1038" s="8">
        <v>0.77</v>
      </c>
      <c r="I1038" s="4">
        <v>0</v>
      </c>
    </row>
    <row r="1039" spans="1:9" x14ac:dyDescent="0.2">
      <c r="A1039" s="2">
        <v>3</v>
      </c>
      <c r="B1039" s="1" t="s">
        <v>169</v>
      </c>
      <c r="C1039" s="4">
        <v>86</v>
      </c>
      <c r="D1039" s="8">
        <v>4.3</v>
      </c>
      <c r="E1039" s="4">
        <v>75</v>
      </c>
      <c r="F1039" s="8">
        <v>6.98</v>
      </c>
      <c r="G1039" s="4">
        <v>11</v>
      </c>
      <c r="H1039" s="8">
        <v>1.21</v>
      </c>
      <c r="I1039" s="4">
        <v>0</v>
      </c>
    </row>
    <row r="1040" spans="1:9" x14ac:dyDescent="0.2">
      <c r="A1040" s="2">
        <v>4</v>
      </c>
      <c r="B1040" s="1" t="s">
        <v>159</v>
      </c>
      <c r="C1040" s="4">
        <v>61</v>
      </c>
      <c r="D1040" s="8">
        <v>3.05</v>
      </c>
      <c r="E1040" s="4">
        <v>8</v>
      </c>
      <c r="F1040" s="8">
        <v>0.74</v>
      </c>
      <c r="G1040" s="4">
        <v>53</v>
      </c>
      <c r="H1040" s="8">
        <v>5.81</v>
      </c>
      <c r="I1040" s="4">
        <v>0</v>
      </c>
    </row>
    <row r="1041" spans="1:9" x14ac:dyDescent="0.2">
      <c r="A1041" s="2">
        <v>4</v>
      </c>
      <c r="B1041" s="1" t="s">
        <v>171</v>
      </c>
      <c r="C1041" s="4">
        <v>61</v>
      </c>
      <c r="D1041" s="8">
        <v>3.05</v>
      </c>
      <c r="E1041" s="4">
        <v>53</v>
      </c>
      <c r="F1041" s="8">
        <v>4.93</v>
      </c>
      <c r="G1041" s="4">
        <v>8</v>
      </c>
      <c r="H1041" s="8">
        <v>0.88</v>
      </c>
      <c r="I1041" s="4">
        <v>0</v>
      </c>
    </row>
    <row r="1042" spans="1:9" x14ac:dyDescent="0.2">
      <c r="A1042" s="2">
        <v>6</v>
      </c>
      <c r="B1042" s="1" t="s">
        <v>170</v>
      </c>
      <c r="C1042" s="4">
        <v>59</v>
      </c>
      <c r="D1042" s="8">
        <v>2.95</v>
      </c>
      <c r="E1042" s="4">
        <v>51</v>
      </c>
      <c r="F1042" s="8">
        <v>4.74</v>
      </c>
      <c r="G1042" s="4">
        <v>8</v>
      </c>
      <c r="H1042" s="8">
        <v>0.88</v>
      </c>
      <c r="I1042" s="4">
        <v>0</v>
      </c>
    </row>
    <row r="1043" spans="1:9" x14ac:dyDescent="0.2">
      <c r="A1043" s="2">
        <v>7</v>
      </c>
      <c r="B1043" s="1" t="s">
        <v>190</v>
      </c>
      <c r="C1043" s="4">
        <v>51</v>
      </c>
      <c r="D1043" s="8">
        <v>2.5499999999999998</v>
      </c>
      <c r="E1043" s="4">
        <v>9</v>
      </c>
      <c r="F1043" s="8">
        <v>0.84</v>
      </c>
      <c r="G1043" s="4">
        <v>42</v>
      </c>
      <c r="H1043" s="8">
        <v>4.6100000000000003</v>
      </c>
      <c r="I1043" s="4">
        <v>0</v>
      </c>
    </row>
    <row r="1044" spans="1:9" x14ac:dyDescent="0.2">
      <c r="A1044" s="2">
        <v>8</v>
      </c>
      <c r="B1044" s="1" t="s">
        <v>157</v>
      </c>
      <c r="C1044" s="4">
        <v>45</v>
      </c>
      <c r="D1044" s="8">
        <v>2.25</v>
      </c>
      <c r="E1044" s="4">
        <v>40</v>
      </c>
      <c r="F1044" s="8">
        <v>3.72</v>
      </c>
      <c r="G1044" s="4">
        <v>5</v>
      </c>
      <c r="H1044" s="8">
        <v>0.55000000000000004</v>
      </c>
      <c r="I1044" s="4">
        <v>0</v>
      </c>
    </row>
    <row r="1045" spans="1:9" x14ac:dyDescent="0.2">
      <c r="A1045" s="2">
        <v>8</v>
      </c>
      <c r="B1045" s="1" t="s">
        <v>167</v>
      </c>
      <c r="C1045" s="4">
        <v>45</v>
      </c>
      <c r="D1045" s="8">
        <v>2.25</v>
      </c>
      <c r="E1045" s="4">
        <v>42</v>
      </c>
      <c r="F1045" s="8">
        <v>3.91</v>
      </c>
      <c r="G1045" s="4">
        <v>3</v>
      </c>
      <c r="H1045" s="8">
        <v>0.33</v>
      </c>
      <c r="I1045" s="4">
        <v>0</v>
      </c>
    </row>
    <row r="1046" spans="1:9" x14ac:dyDescent="0.2">
      <c r="A1046" s="2">
        <v>10</v>
      </c>
      <c r="B1046" s="1" t="s">
        <v>168</v>
      </c>
      <c r="C1046" s="4">
        <v>43</v>
      </c>
      <c r="D1046" s="8">
        <v>2.15</v>
      </c>
      <c r="E1046" s="4">
        <v>43</v>
      </c>
      <c r="F1046" s="8">
        <v>4</v>
      </c>
      <c r="G1046" s="4">
        <v>0</v>
      </c>
      <c r="H1046" s="8">
        <v>0</v>
      </c>
      <c r="I1046" s="4">
        <v>0</v>
      </c>
    </row>
    <row r="1047" spans="1:9" x14ac:dyDescent="0.2">
      <c r="A1047" s="2">
        <v>11</v>
      </c>
      <c r="B1047" s="1" t="s">
        <v>162</v>
      </c>
      <c r="C1047" s="4">
        <v>34</v>
      </c>
      <c r="D1047" s="8">
        <v>1.7</v>
      </c>
      <c r="E1047" s="4">
        <v>4</v>
      </c>
      <c r="F1047" s="8">
        <v>0.37</v>
      </c>
      <c r="G1047" s="4">
        <v>29</v>
      </c>
      <c r="H1047" s="8">
        <v>3.18</v>
      </c>
      <c r="I1047" s="4">
        <v>1</v>
      </c>
    </row>
    <row r="1048" spans="1:9" x14ac:dyDescent="0.2">
      <c r="A1048" s="2">
        <v>12</v>
      </c>
      <c r="B1048" s="1" t="s">
        <v>215</v>
      </c>
      <c r="C1048" s="4">
        <v>33</v>
      </c>
      <c r="D1048" s="8">
        <v>1.65</v>
      </c>
      <c r="E1048" s="4">
        <v>22</v>
      </c>
      <c r="F1048" s="8">
        <v>2.0499999999999998</v>
      </c>
      <c r="G1048" s="4">
        <v>11</v>
      </c>
      <c r="H1048" s="8">
        <v>1.21</v>
      </c>
      <c r="I1048" s="4">
        <v>0</v>
      </c>
    </row>
    <row r="1049" spans="1:9" x14ac:dyDescent="0.2">
      <c r="A1049" s="2">
        <v>13</v>
      </c>
      <c r="B1049" s="1" t="s">
        <v>164</v>
      </c>
      <c r="C1049" s="4">
        <v>29</v>
      </c>
      <c r="D1049" s="8">
        <v>1.45</v>
      </c>
      <c r="E1049" s="4">
        <v>28</v>
      </c>
      <c r="F1049" s="8">
        <v>2.6</v>
      </c>
      <c r="G1049" s="4">
        <v>1</v>
      </c>
      <c r="H1049" s="8">
        <v>0.11</v>
      </c>
      <c r="I1049" s="4">
        <v>0</v>
      </c>
    </row>
    <row r="1050" spans="1:9" x14ac:dyDescent="0.2">
      <c r="A1050" s="2">
        <v>14</v>
      </c>
      <c r="B1050" s="1" t="s">
        <v>199</v>
      </c>
      <c r="C1050" s="4">
        <v>26</v>
      </c>
      <c r="D1050" s="8">
        <v>1.3</v>
      </c>
      <c r="E1050" s="4">
        <v>22</v>
      </c>
      <c r="F1050" s="8">
        <v>2.0499999999999998</v>
      </c>
      <c r="G1050" s="4">
        <v>4</v>
      </c>
      <c r="H1050" s="8">
        <v>0.44</v>
      </c>
      <c r="I1050" s="4">
        <v>0</v>
      </c>
    </row>
    <row r="1051" spans="1:9" x14ac:dyDescent="0.2">
      <c r="A1051" s="2">
        <v>15</v>
      </c>
      <c r="B1051" s="1" t="s">
        <v>154</v>
      </c>
      <c r="C1051" s="4">
        <v>25</v>
      </c>
      <c r="D1051" s="8">
        <v>1.25</v>
      </c>
      <c r="E1051" s="4">
        <v>1</v>
      </c>
      <c r="F1051" s="8">
        <v>0.09</v>
      </c>
      <c r="G1051" s="4">
        <v>24</v>
      </c>
      <c r="H1051" s="8">
        <v>2.63</v>
      </c>
      <c r="I1051" s="4">
        <v>0</v>
      </c>
    </row>
    <row r="1052" spans="1:9" x14ac:dyDescent="0.2">
      <c r="A1052" s="2">
        <v>16</v>
      </c>
      <c r="B1052" s="1" t="s">
        <v>153</v>
      </c>
      <c r="C1052" s="4">
        <v>24</v>
      </c>
      <c r="D1052" s="8">
        <v>1.2</v>
      </c>
      <c r="E1052" s="4">
        <v>6</v>
      </c>
      <c r="F1052" s="8">
        <v>0.56000000000000005</v>
      </c>
      <c r="G1052" s="4">
        <v>18</v>
      </c>
      <c r="H1052" s="8">
        <v>1.97</v>
      </c>
      <c r="I1052" s="4">
        <v>0</v>
      </c>
    </row>
    <row r="1053" spans="1:9" x14ac:dyDescent="0.2">
      <c r="A1053" s="2">
        <v>17</v>
      </c>
      <c r="B1053" s="1" t="s">
        <v>152</v>
      </c>
      <c r="C1053" s="4">
        <v>23</v>
      </c>
      <c r="D1053" s="8">
        <v>1.1499999999999999</v>
      </c>
      <c r="E1053" s="4">
        <v>4</v>
      </c>
      <c r="F1053" s="8">
        <v>0.37</v>
      </c>
      <c r="G1053" s="4">
        <v>19</v>
      </c>
      <c r="H1053" s="8">
        <v>2.08</v>
      </c>
      <c r="I1053" s="4">
        <v>0</v>
      </c>
    </row>
    <row r="1054" spans="1:9" x14ac:dyDescent="0.2">
      <c r="A1054" s="2">
        <v>17</v>
      </c>
      <c r="B1054" s="1" t="s">
        <v>156</v>
      </c>
      <c r="C1054" s="4">
        <v>23</v>
      </c>
      <c r="D1054" s="8">
        <v>1.1499999999999999</v>
      </c>
      <c r="E1054" s="4">
        <v>16</v>
      </c>
      <c r="F1054" s="8">
        <v>1.49</v>
      </c>
      <c r="G1054" s="4">
        <v>6</v>
      </c>
      <c r="H1054" s="8">
        <v>0.66</v>
      </c>
      <c r="I1054" s="4">
        <v>1</v>
      </c>
    </row>
    <row r="1055" spans="1:9" x14ac:dyDescent="0.2">
      <c r="A1055" s="2">
        <v>17</v>
      </c>
      <c r="B1055" s="1" t="s">
        <v>172</v>
      </c>
      <c r="C1055" s="4">
        <v>23</v>
      </c>
      <c r="D1055" s="8">
        <v>1.1499999999999999</v>
      </c>
      <c r="E1055" s="4">
        <v>5</v>
      </c>
      <c r="F1055" s="8">
        <v>0.47</v>
      </c>
      <c r="G1055" s="4">
        <v>18</v>
      </c>
      <c r="H1055" s="8">
        <v>1.97</v>
      </c>
      <c r="I1055" s="4">
        <v>0</v>
      </c>
    </row>
    <row r="1056" spans="1:9" x14ac:dyDescent="0.2">
      <c r="A1056" s="2">
        <v>17</v>
      </c>
      <c r="B1056" s="1" t="s">
        <v>198</v>
      </c>
      <c r="C1056" s="4">
        <v>23</v>
      </c>
      <c r="D1056" s="8">
        <v>1.1499999999999999</v>
      </c>
      <c r="E1056" s="4">
        <v>16</v>
      </c>
      <c r="F1056" s="8">
        <v>1.49</v>
      </c>
      <c r="G1056" s="4">
        <v>7</v>
      </c>
      <c r="H1056" s="8">
        <v>0.77</v>
      </c>
      <c r="I1056" s="4">
        <v>0</v>
      </c>
    </row>
    <row r="1057" spans="1:9" x14ac:dyDescent="0.2">
      <c r="A1057" s="1"/>
      <c r="C1057" s="4"/>
      <c r="D1057" s="8"/>
      <c r="E1057" s="4"/>
      <c r="F1057" s="8"/>
      <c r="G1057" s="4"/>
      <c r="H1057" s="8"/>
      <c r="I1057" s="4"/>
    </row>
    <row r="1058" spans="1:9" x14ac:dyDescent="0.2">
      <c r="A1058" s="1" t="s">
        <v>47</v>
      </c>
      <c r="C1058" s="4"/>
      <c r="D1058" s="8"/>
      <c r="E1058" s="4"/>
      <c r="F1058" s="8"/>
      <c r="G1058" s="4"/>
      <c r="H1058" s="8"/>
      <c r="I1058" s="4"/>
    </row>
    <row r="1059" spans="1:9" x14ac:dyDescent="0.2">
      <c r="A1059" s="2">
        <v>1</v>
      </c>
      <c r="B1059" s="1" t="s">
        <v>169</v>
      </c>
      <c r="C1059" s="4">
        <v>214</v>
      </c>
      <c r="D1059" s="8">
        <v>5.15</v>
      </c>
      <c r="E1059" s="4">
        <v>198</v>
      </c>
      <c r="F1059" s="8">
        <v>8.9600000000000009</v>
      </c>
      <c r="G1059" s="4">
        <v>16</v>
      </c>
      <c r="H1059" s="8">
        <v>0.83</v>
      </c>
      <c r="I1059" s="4">
        <v>0</v>
      </c>
    </row>
    <row r="1060" spans="1:9" x14ac:dyDescent="0.2">
      <c r="A1060" s="2">
        <v>2</v>
      </c>
      <c r="B1060" s="1" t="s">
        <v>160</v>
      </c>
      <c r="C1060" s="4">
        <v>204</v>
      </c>
      <c r="D1060" s="8">
        <v>4.91</v>
      </c>
      <c r="E1060" s="4">
        <v>76</v>
      </c>
      <c r="F1060" s="8">
        <v>3.44</v>
      </c>
      <c r="G1060" s="4">
        <v>128</v>
      </c>
      <c r="H1060" s="8">
        <v>6.63</v>
      </c>
      <c r="I1060" s="4">
        <v>0</v>
      </c>
    </row>
    <row r="1061" spans="1:9" x14ac:dyDescent="0.2">
      <c r="A1061" s="2">
        <v>3</v>
      </c>
      <c r="B1061" s="1" t="s">
        <v>165</v>
      </c>
      <c r="C1061" s="4">
        <v>146</v>
      </c>
      <c r="D1061" s="8">
        <v>3.51</v>
      </c>
      <c r="E1061" s="4">
        <v>143</v>
      </c>
      <c r="F1061" s="8">
        <v>6.47</v>
      </c>
      <c r="G1061" s="4">
        <v>3</v>
      </c>
      <c r="H1061" s="8">
        <v>0.16</v>
      </c>
      <c r="I1061" s="4">
        <v>0</v>
      </c>
    </row>
    <row r="1062" spans="1:9" x14ac:dyDescent="0.2">
      <c r="A1062" s="2">
        <v>4</v>
      </c>
      <c r="B1062" s="1" t="s">
        <v>168</v>
      </c>
      <c r="C1062" s="4">
        <v>145</v>
      </c>
      <c r="D1062" s="8">
        <v>3.49</v>
      </c>
      <c r="E1062" s="4">
        <v>144</v>
      </c>
      <c r="F1062" s="8">
        <v>6.52</v>
      </c>
      <c r="G1062" s="4">
        <v>1</v>
      </c>
      <c r="H1062" s="8">
        <v>0.05</v>
      </c>
      <c r="I1062" s="4">
        <v>0</v>
      </c>
    </row>
    <row r="1063" spans="1:9" x14ac:dyDescent="0.2">
      <c r="A1063" s="2">
        <v>5</v>
      </c>
      <c r="B1063" s="1" t="s">
        <v>167</v>
      </c>
      <c r="C1063" s="4">
        <v>144</v>
      </c>
      <c r="D1063" s="8">
        <v>3.47</v>
      </c>
      <c r="E1063" s="4">
        <v>136</v>
      </c>
      <c r="F1063" s="8">
        <v>6.16</v>
      </c>
      <c r="G1063" s="4">
        <v>8</v>
      </c>
      <c r="H1063" s="8">
        <v>0.41</v>
      </c>
      <c r="I1063" s="4">
        <v>0</v>
      </c>
    </row>
    <row r="1064" spans="1:9" x14ac:dyDescent="0.2">
      <c r="A1064" s="2">
        <v>6</v>
      </c>
      <c r="B1064" s="1" t="s">
        <v>171</v>
      </c>
      <c r="C1064" s="4">
        <v>122</v>
      </c>
      <c r="D1064" s="8">
        <v>2.94</v>
      </c>
      <c r="E1064" s="4">
        <v>104</v>
      </c>
      <c r="F1064" s="8">
        <v>4.71</v>
      </c>
      <c r="G1064" s="4">
        <v>17</v>
      </c>
      <c r="H1064" s="8">
        <v>0.88</v>
      </c>
      <c r="I1064" s="4">
        <v>1</v>
      </c>
    </row>
    <row r="1065" spans="1:9" x14ac:dyDescent="0.2">
      <c r="A1065" s="2">
        <v>7</v>
      </c>
      <c r="B1065" s="1" t="s">
        <v>159</v>
      </c>
      <c r="C1065" s="4">
        <v>103</v>
      </c>
      <c r="D1065" s="8">
        <v>2.48</v>
      </c>
      <c r="E1065" s="4">
        <v>17</v>
      </c>
      <c r="F1065" s="8">
        <v>0.77</v>
      </c>
      <c r="G1065" s="4">
        <v>86</v>
      </c>
      <c r="H1065" s="8">
        <v>4.46</v>
      </c>
      <c r="I1065" s="4">
        <v>0</v>
      </c>
    </row>
    <row r="1066" spans="1:9" x14ac:dyDescent="0.2">
      <c r="A1066" s="2">
        <v>8</v>
      </c>
      <c r="B1066" s="1" t="s">
        <v>164</v>
      </c>
      <c r="C1066" s="4">
        <v>101</v>
      </c>
      <c r="D1066" s="8">
        <v>2.4300000000000002</v>
      </c>
      <c r="E1066" s="4">
        <v>86</v>
      </c>
      <c r="F1066" s="8">
        <v>3.89</v>
      </c>
      <c r="G1066" s="4">
        <v>15</v>
      </c>
      <c r="H1066" s="8">
        <v>0.78</v>
      </c>
      <c r="I1066" s="4">
        <v>0</v>
      </c>
    </row>
    <row r="1067" spans="1:9" x14ac:dyDescent="0.2">
      <c r="A1067" s="2">
        <v>9</v>
      </c>
      <c r="B1067" s="1" t="s">
        <v>161</v>
      </c>
      <c r="C1067" s="4">
        <v>88</v>
      </c>
      <c r="D1067" s="8">
        <v>2.12</v>
      </c>
      <c r="E1067" s="4">
        <v>72</v>
      </c>
      <c r="F1067" s="8">
        <v>3.26</v>
      </c>
      <c r="G1067" s="4">
        <v>16</v>
      </c>
      <c r="H1067" s="8">
        <v>0.83</v>
      </c>
      <c r="I1067" s="4">
        <v>0</v>
      </c>
    </row>
    <row r="1068" spans="1:9" x14ac:dyDescent="0.2">
      <c r="A1068" s="2">
        <v>10</v>
      </c>
      <c r="B1068" s="1" t="s">
        <v>170</v>
      </c>
      <c r="C1068" s="4">
        <v>80</v>
      </c>
      <c r="D1068" s="8">
        <v>1.93</v>
      </c>
      <c r="E1068" s="4">
        <v>63</v>
      </c>
      <c r="F1068" s="8">
        <v>2.85</v>
      </c>
      <c r="G1068" s="4">
        <v>16</v>
      </c>
      <c r="H1068" s="8">
        <v>0.83</v>
      </c>
      <c r="I1068" s="4">
        <v>1</v>
      </c>
    </row>
    <row r="1069" spans="1:9" x14ac:dyDescent="0.2">
      <c r="A1069" s="2">
        <v>11</v>
      </c>
      <c r="B1069" s="1" t="s">
        <v>157</v>
      </c>
      <c r="C1069" s="4">
        <v>78</v>
      </c>
      <c r="D1069" s="8">
        <v>1.88</v>
      </c>
      <c r="E1069" s="4">
        <v>63</v>
      </c>
      <c r="F1069" s="8">
        <v>2.85</v>
      </c>
      <c r="G1069" s="4">
        <v>15</v>
      </c>
      <c r="H1069" s="8">
        <v>0.78</v>
      </c>
      <c r="I1069" s="4">
        <v>0</v>
      </c>
    </row>
    <row r="1070" spans="1:9" x14ac:dyDescent="0.2">
      <c r="A1070" s="2">
        <v>12</v>
      </c>
      <c r="B1070" s="1" t="s">
        <v>153</v>
      </c>
      <c r="C1070" s="4">
        <v>70</v>
      </c>
      <c r="D1070" s="8">
        <v>1.69</v>
      </c>
      <c r="E1070" s="4">
        <v>11</v>
      </c>
      <c r="F1070" s="8">
        <v>0.5</v>
      </c>
      <c r="G1070" s="4">
        <v>59</v>
      </c>
      <c r="H1070" s="8">
        <v>3.06</v>
      </c>
      <c r="I1070" s="4">
        <v>0</v>
      </c>
    </row>
    <row r="1071" spans="1:9" x14ac:dyDescent="0.2">
      <c r="A1071" s="2">
        <v>13</v>
      </c>
      <c r="B1071" s="1" t="s">
        <v>174</v>
      </c>
      <c r="C1071" s="4">
        <v>66</v>
      </c>
      <c r="D1071" s="8">
        <v>1.59</v>
      </c>
      <c r="E1071" s="4">
        <v>19</v>
      </c>
      <c r="F1071" s="8">
        <v>0.86</v>
      </c>
      <c r="G1071" s="4">
        <v>47</v>
      </c>
      <c r="H1071" s="8">
        <v>2.44</v>
      </c>
      <c r="I1071" s="4">
        <v>0</v>
      </c>
    </row>
    <row r="1072" spans="1:9" x14ac:dyDescent="0.2">
      <c r="A1072" s="2">
        <v>14</v>
      </c>
      <c r="B1072" s="1" t="s">
        <v>156</v>
      </c>
      <c r="C1072" s="4">
        <v>62</v>
      </c>
      <c r="D1072" s="8">
        <v>1.49</v>
      </c>
      <c r="E1072" s="4">
        <v>48</v>
      </c>
      <c r="F1072" s="8">
        <v>2.17</v>
      </c>
      <c r="G1072" s="4">
        <v>14</v>
      </c>
      <c r="H1072" s="8">
        <v>0.73</v>
      </c>
      <c r="I1072" s="4">
        <v>0</v>
      </c>
    </row>
    <row r="1073" spans="1:9" x14ac:dyDescent="0.2">
      <c r="A1073" s="2">
        <v>15</v>
      </c>
      <c r="B1073" s="1" t="s">
        <v>215</v>
      </c>
      <c r="C1073" s="4">
        <v>60</v>
      </c>
      <c r="D1073" s="8">
        <v>1.44</v>
      </c>
      <c r="E1073" s="4">
        <v>34</v>
      </c>
      <c r="F1073" s="8">
        <v>1.54</v>
      </c>
      <c r="G1073" s="4">
        <v>26</v>
      </c>
      <c r="H1073" s="8">
        <v>1.35</v>
      </c>
      <c r="I1073" s="4">
        <v>0</v>
      </c>
    </row>
    <row r="1074" spans="1:9" x14ac:dyDescent="0.2">
      <c r="A1074" s="2">
        <v>16</v>
      </c>
      <c r="B1074" s="1" t="s">
        <v>162</v>
      </c>
      <c r="C1074" s="4">
        <v>58</v>
      </c>
      <c r="D1074" s="8">
        <v>1.4</v>
      </c>
      <c r="E1074" s="4">
        <v>2</v>
      </c>
      <c r="F1074" s="8">
        <v>0.09</v>
      </c>
      <c r="G1074" s="4">
        <v>56</v>
      </c>
      <c r="H1074" s="8">
        <v>2.9</v>
      </c>
      <c r="I1074" s="4">
        <v>0</v>
      </c>
    </row>
    <row r="1075" spans="1:9" x14ac:dyDescent="0.2">
      <c r="A1075" s="2">
        <v>17</v>
      </c>
      <c r="B1075" s="1" t="s">
        <v>152</v>
      </c>
      <c r="C1075" s="4">
        <v>56</v>
      </c>
      <c r="D1075" s="8">
        <v>1.35</v>
      </c>
      <c r="E1075" s="4">
        <v>11</v>
      </c>
      <c r="F1075" s="8">
        <v>0.5</v>
      </c>
      <c r="G1075" s="4">
        <v>45</v>
      </c>
      <c r="H1075" s="8">
        <v>2.33</v>
      </c>
      <c r="I1075" s="4">
        <v>0</v>
      </c>
    </row>
    <row r="1076" spans="1:9" x14ac:dyDescent="0.2">
      <c r="A1076" s="2">
        <v>17</v>
      </c>
      <c r="B1076" s="1" t="s">
        <v>158</v>
      </c>
      <c r="C1076" s="4">
        <v>56</v>
      </c>
      <c r="D1076" s="8">
        <v>1.35</v>
      </c>
      <c r="E1076" s="4">
        <v>15</v>
      </c>
      <c r="F1076" s="8">
        <v>0.68</v>
      </c>
      <c r="G1076" s="4">
        <v>41</v>
      </c>
      <c r="H1076" s="8">
        <v>2.12</v>
      </c>
      <c r="I1076" s="4">
        <v>0</v>
      </c>
    </row>
    <row r="1077" spans="1:9" x14ac:dyDescent="0.2">
      <c r="A1077" s="2">
        <v>19</v>
      </c>
      <c r="B1077" s="1" t="s">
        <v>181</v>
      </c>
      <c r="C1077" s="4">
        <v>54</v>
      </c>
      <c r="D1077" s="8">
        <v>1.3</v>
      </c>
      <c r="E1077" s="4">
        <v>43</v>
      </c>
      <c r="F1077" s="8">
        <v>1.95</v>
      </c>
      <c r="G1077" s="4">
        <v>11</v>
      </c>
      <c r="H1077" s="8">
        <v>0.56999999999999995</v>
      </c>
      <c r="I1077" s="4">
        <v>0</v>
      </c>
    </row>
    <row r="1078" spans="1:9" x14ac:dyDescent="0.2">
      <c r="A1078" s="2">
        <v>20</v>
      </c>
      <c r="B1078" s="1" t="s">
        <v>199</v>
      </c>
      <c r="C1078" s="4">
        <v>53</v>
      </c>
      <c r="D1078" s="8">
        <v>1.28</v>
      </c>
      <c r="E1078" s="4">
        <v>38</v>
      </c>
      <c r="F1078" s="8">
        <v>1.72</v>
      </c>
      <c r="G1078" s="4">
        <v>15</v>
      </c>
      <c r="H1078" s="8">
        <v>0.78</v>
      </c>
      <c r="I1078" s="4">
        <v>0</v>
      </c>
    </row>
    <row r="1079" spans="1:9" x14ac:dyDescent="0.2">
      <c r="A1079" s="1"/>
      <c r="C1079" s="4"/>
      <c r="D1079" s="8"/>
      <c r="E1079" s="4"/>
      <c r="F1079" s="8"/>
      <c r="G1079" s="4"/>
      <c r="H1079" s="8"/>
      <c r="I1079" s="4"/>
    </row>
    <row r="1080" spans="1:9" x14ac:dyDescent="0.2">
      <c r="A1080" s="1" t="s">
        <v>48</v>
      </c>
      <c r="C1080" s="4"/>
      <c r="D1080" s="8"/>
      <c r="E1080" s="4"/>
      <c r="F1080" s="8"/>
      <c r="G1080" s="4"/>
      <c r="H1080" s="8"/>
      <c r="I1080" s="4"/>
    </row>
    <row r="1081" spans="1:9" x14ac:dyDescent="0.2">
      <c r="A1081" s="2">
        <v>1</v>
      </c>
      <c r="B1081" s="1" t="s">
        <v>169</v>
      </c>
      <c r="C1081" s="4">
        <v>92</v>
      </c>
      <c r="D1081" s="8">
        <v>5.64</v>
      </c>
      <c r="E1081" s="4">
        <v>85</v>
      </c>
      <c r="F1081" s="8">
        <v>9.39</v>
      </c>
      <c r="G1081" s="4">
        <v>7</v>
      </c>
      <c r="H1081" s="8">
        <v>0.98</v>
      </c>
      <c r="I1081" s="4">
        <v>0</v>
      </c>
    </row>
    <row r="1082" spans="1:9" x14ac:dyDescent="0.2">
      <c r="A1082" s="2">
        <v>2</v>
      </c>
      <c r="B1082" s="1" t="s">
        <v>160</v>
      </c>
      <c r="C1082" s="4">
        <v>91</v>
      </c>
      <c r="D1082" s="8">
        <v>5.58</v>
      </c>
      <c r="E1082" s="4">
        <v>45</v>
      </c>
      <c r="F1082" s="8">
        <v>4.97</v>
      </c>
      <c r="G1082" s="4">
        <v>46</v>
      </c>
      <c r="H1082" s="8">
        <v>6.46</v>
      </c>
      <c r="I1082" s="4">
        <v>0</v>
      </c>
    </row>
    <row r="1083" spans="1:9" x14ac:dyDescent="0.2">
      <c r="A1083" s="2">
        <v>3</v>
      </c>
      <c r="B1083" s="1" t="s">
        <v>170</v>
      </c>
      <c r="C1083" s="4">
        <v>56</v>
      </c>
      <c r="D1083" s="8">
        <v>3.43</v>
      </c>
      <c r="E1083" s="4">
        <v>45</v>
      </c>
      <c r="F1083" s="8">
        <v>4.97</v>
      </c>
      <c r="G1083" s="4">
        <v>11</v>
      </c>
      <c r="H1083" s="8">
        <v>1.54</v>
      </c>
      <c r="I1083" s="4">
        <v>0</v>
      </c>
    </row>
    <row r="1084" spans="1:9" x14ac:dyDescent="0.2">
      <c r="A1084" s="2">
        <v>4</v>
      </c>
      <c r="B1084" s="1" t="s">
        <v>171</v>
      </c>
      <c r="C1084" s="4">
        <v>55</v>
      </c>
      <c r="D1084" s="8">
        <v>3.37</v>
      </c>
      <c r="E1084" s="4">
        <v>44</v>
      </c>
      <c r="F1084" s="8">
        <v>4.8600000000000003</v>
      </c>
      <c r="G1084" s="4">
        <v>11</v>
      </c>
      <c r="H1084" s="8">
        <v>1.54</v>
      </c>
      <c r="I1084" s="4">
        <v>0</v>
      </c>
    </row>
    <row r="1085" spans="1:9" x14ac:dyDescent="0.2">
      <c r="A1085" s="2">
        <v>5</v>
      </c>
      <c r="B1085" s="1" t="s">
        <v>161</v>
      </c>
      <c r="C1085" s="4">
        <v>53</v>
      </c>
      <c r="D1085" s="8">
        <v>3.25</v>
      </c>
      <c r="E1085" s="4">
        <v>39</v>
      </c>
      <c r="F1085" s="8">
        <v>4.3099999999999996</v>
      </c>
      <c r="G1085" s="4">
        <v>14</v>
      </c>
      <c r="H1085" s="8">
        <v>1.97</v>
      </c>
      <c r="I1085" s="4">
        <v>0</v>
      </c>
    </row>
    <row r="1086" spans="1:9" x14ac:dyDescent="0.2">
      <c r="A1086" s="2">
        <v>6</v>
      </c>
      <c r="B1086" s="1" t="s">
        <v>167</v>
      </c>
      <c r="C1086" s="4">
        <v>48</v>
      </c>
      <c r="D1086" s="8">
        <v>2.94</v>
      </c>
      <c r="E1086" s="4">
        <v>47</v>
      </c>
      <c r="F1086" s="8">
        <v>5.19</v>
      </c>
      <c r="G1086" s="4">
        <v>1</v>
      </c>
      <c r="H1086" s="8">
        <v>0.14000000000000001</v>
      </c>
      <c r="I1086" s="4">
        <v>0</v>
      </c>
    </row>
    <row r="1087" spans="1:9" x14ac:dyDescent="0.2">
      <c r="A1087" s="2">
        <v>7</v>
      </c>
      <c r="B1087" s="1" t="s">
        <v>157</v>
      </c>
      <c r="C1087" s="4">
        <v>43</v>
      </c>
      <c r="D1087" s="8">
        <v>2.64</v>
      </c>
      <c r="E1087" s="4">
        <v>32</v>
      </c>
      <c r="F1087" s="8">
        <v>3.54</v>
      </c>
      <c r="G1087" s="4">
        <v>11</v>
      </c>
      <c r="H1087" s="8">
        <v>1.54</v>
      </c>
      <c r="I1087" s="4">
        <v>0</v>
      </c>
    </row>
    <row r="1088" spans="1:9" x14ac:dyDescent="0.2">
      <c r="A1088" s="2">
        <v>8</v>
      </c>
      <c r="B1088" s="1" t="s">
        <v>190</v>
      </c>
      <c r="C1088" s="4">
        <v>42</v>
      </c>
      <c r="D1088" s="8">
        <v>2.58</v>
      </c>
      <c r="E1088" s="4">
        <v>8</v>
      </c>
      <c r="F1088" s="8">
        <v>0.88</v>
      </c>
      <c r="G1088" s="4">
        <v>34</v>
      </c>
      <c r="H1088" s="8">
        <v>4.78</v>
      </c>
      <c r="I1088" s="4">
        <v>0</v>
      </c>
    </row>
    <row r="1089" spans="1:9" x14ac:dyDescent="0.2">
      <c r="A1089" s="2">
        <v>9</v>
      </c>
      <c r="B1089" s="1" t="s">
        <v>215</v>
      </c>
      <c r="C1089" s="4">
        <v>33</v>
      </c>
      <c r="D1089" s="8">
        <v>2.02</v>
      </c>
      <c r="E1089" s="4">
        <v>22</v>
      </c>
      <c r="F1089" s="8">
        <v>2.4300000000000002</v>
      </c>
      <c r="G1089" s="4">
        <v>11</v>
      </c>
      <c r="H1089" s="8">
        <v>1.54</v>
      </c>
      <c r="I1089" s="4">
        <v>0</v>
      </c>
    </row>
    <row r="1090" spans="1:9" x14ac:dyDescent="0.2">
      <c r="A1090" s="2">
        <v>10</v>
      </c>
      <c r="B1090" s="1" t="s">
        <v>156</v>
      </c>
      <c r="C1090" s="4">
        <v>32</v>
      </c>
      <c r="D1090" s="8">
        <v>1.96</v>
      </c>
      <c r="E1090" s="4">
        <v>24</v>
      </c>
      <c r="F1090" s="8">
        <v>2.65</v>
      </c>
      <c r="G1090" s="4">
        <v>8</v>
      </c>
      <c r="H1090" s="8">
        <v>1.1200000000000001</v>
      </c>
      <c r="I1090" s="4">
        <v>0</v>
      </c>
    </row>
    <row r="1091" spans="1:9" x14ac:dyDescent="0.2">
      <c r="A1091" s="2">
        <v>10</v>
      </c>
      <c r="B1091" s="1" t="s">
        <v>159</v>
      </c>
      <c r="C1091" s="4">
        <v>32</v>
      </c>
      <c r="D1091" s="8">
        <v>1.96</v>
      </c>
      <c r="E1091" s="4">
        <v>3</v>
      </c>
      <c r="F1091" s="8">
        <v>0.33</v>
      </c>
      <c r="G1091" s="4">
        <v>29</v>
      </c>
      <c r="H1091" s="8">
        <v>4.07</v>
      </c>
      <c r="I1091" s="4">
        <v>0</v>
      </c>
    </row>
    <row r="1092" spans="1:9" x14ac:dyDescent="0.2">
      <c r="A1092" s="2">
        <v>12</v>
      </c>
      <c r="B1092" s="1" t="s">
        <v>168</v>
      </c>
      <c r="C1092" s="4">
        <v>30</v>
      </c>
      <c r="D1092" s="8">
        <v>1.84</v>
      </c>
      <c r="E1092" s="4">
        <v>29</v>
      </c>
      <c r="F1092" s="8">
        <v>3.2</v>
      </c>
      <c r="G1092" s="4">
        <v>1</v>
      </c>
      <c r="H1092" s="8">
        <v>0.14000000000000001</v>
      </c>
      <c r="I1092" s="4">
        <v>0</v>
      </c>
    </row>
    <row r="1093" spans="1:9" x14ac:dyDescent="0.2">
      <c r="A1093" s="2">
        <v>13</v>
      </c>
      <c r="B1093" s="1" t="s">
        <v>199</v>
      </c>
      <c r="C1093" s="4">
        <v>29</v>
      </c>
      <c r="D1093" s="8">
        <v>1.78</v>
      </c>
      <c r="E1093" s="4">
        <v>25</v>
      </c>
      <c r="F1093" s="8">
        <v>2.76</v>
      </c>
      <c r="G1093" s="4">
        <v>4</v>
      </c>
      <c r="H1093" s="8">
        <v>0.56000000000000005</v>
      </c>
      <c r="I1093" s="4">
        <v>0</v>
      </c>
    </row>
    <row r="1094" spans="1:9" x14ac:dyDescent="0.2">
      <c r="A1094" s="2">
        <v>14</v>
      </c>
      <c r="B1094" s="1" t="s">
        <v>196</v>
      </c>
      <c r="C1094" s="4">
        <v>28</v>
      </c>
      <c r="D1094" s="8">
        <v>1.72</v>
      </c>
      <c r="E1094" s="4">
        <v>17</v>
      </c>
      <c r="F1094" s="8">
        <v>1.88</v>
      </c>
      <c r="G1094" s="4">
        <v>11</v>
      </c>
      <c r="H1094" s="8">
        <v>1.54</v>
      </c>
      <c r="I1094" s="4">
        <v>0</v>
      </c>
    </row>
    <row r="1095" spans="1:9" x14ac:dyDescent="0.2">
      <c r="A1095" s="2">
        <v>15</v>
      </c>
      <c r="B1095" s="1" t="s">
        <v>152</v>
      </c>
      <c r="C1095" s="4">
        <v>24</v>
      </c>
      <c r="D1095" s="8">
        <v>1.47</v>
      </c>
      <c r="E1095" s="4">
        <v>5</v>
      </c>
      <c r="F1095" s="8">
        <v>0.55000000000000004</v>
      </c>
      <c r="G1095" s="4">
        <v>19</v>
      </c>
      <c r="H1095" s="8">
        <v>2.67</v>
      </c>
      <c r="I1095" s="4">
        <v>0</v>
      </c>
    </row>
    <row r="1096" spans="1:9" x14ac:dyDescent="0.2">
      <c r="A1096" s="2">
        <v>15</v>
      </c>
      <c r="B1096" s="1" t="s">
        <v>181</v>
      </c>
      <c r="C1096" s="4">
        <v>24</v>
      </c>
      <c r="D1096" s="8">
        <v>1.47</v>
      </c>
      <c r="E1096" s="4">
        <v>21</v>
      </c>
      <c r="F1096" s="8">
        <v>2.3199999999999998</v>
      </c>
      <c r="G1096" s="4">
        <v>3</v>
      </c>
      <c r="H1096" s="8">
        <v>0.42</v>
      </c>
      <c r="I1096" s="4">
        <v>0</v>
      </c>
    </row>
    <row r="1097" spans="1:9" x14ac:dyDescent="0.2">
      <c r="A1097" s="2">
        <v>15</v>
      </c>
      <c r="B1097" s="1" t="s">
        <v>165</v>
      </c>
      <c r="C1097" s="4">
        <v>24</v>
      </c>
      <c r="D1097" s="8">
        <v>1.47</v>
      </c>
      <c r="E1097" s="4">
        <v>23</v>
      </c>
      <c r="F1097" s="8">
        <v>2.54</v>
      </c>
      <c r="G1097" s="4">
        <v>1</v>
      </c>
      <c r="H1097" s="8">
        <v>0.14000000000000001</v>
      </c>
      <c r="I1097" s="4">
        <v>0</v>
      </c>
    </row>
    <row r="1098" spans="1:9" x14ac:dyDescent="0.2">
      <c r="A1098" s="2">
        <v>18</v>
      </c>
      <c r="B1098" s="1" t="s">
        <v>153</v>
      </c>
      <c r="C1098" s="4">
        <v>23</v>
      </c>
      <c r="D1098" s="8">
        <v>1.41</v>
      </c>
      <c r="E1098" s="4">
        <v>5</v>
      </c>
      <c r="F1098" s="8">
        <v>0.55000000000000004</v>
      </c>
      <c r="G1098" s="4">
        <v>18</v>
      </c>
      <c r="H1098" s="8">
        <v>2.5299999999999998</v>
      </c>
      <c r="I1098" s="4">
        <v>0</v>
      </c>
    </row>
    <row r="1099" spans="1:9" x14ac:dyDescent="0.2">
      <c r="A1099" s="2">
        <v>18</v>
      </c>
      <c r="B1099" s="1" t="s">
        <v>155</v>
      </c>
      <c r="C1099" s="4">
        <v>23</v>
      </c>
      <c r="D1099" s="8">
        <v>1.41</v>
      </c>
      <c r="E1099" s="4">
        <v>15</v>
      </c>
      <c r="F1099" s="8">
        <v>1.66</v>
      </c>
      <c r="G1099" s="4">
        <v>8</v>
      </c>
      <c r="H1099" s="8">
        <v>1.1200000000000001</v>
      </c>
      <c r="I1099" s="4">
        <v>0</v>
      </c>
    </row>
    <row r="1100" spans="1:9" x14ac:dyDescent="0.2">
      <c r="A1100" s="2">
        <v>20</v>
      </c>
      <c r="B1100" s="1" t="s">
        <v>176</v>
      </c>
      <c r="C1100" s="4">
        <v>22</v>
      </c>
      <c r="D1100" s="8">
        <v>1.35</v>
      </c>
      <c r="E1100" s="4">
        <v>13</v>
      </c>
      <c r="F1100" s="8">
        <v>1.44</v>
      </c>
      <c r="G1100" s="4">
        <v>9</v>
      </c>
      <c r="H1100" s="8">
        <v>1.26</v>
      </c>
      <c r="I1100" s="4">
        <v>0</v>
      </c>
    </row>
    <row r="1101" spans="1:9" x14ac:dyDescent="0.2">
      <c r="A1101" s="1"/>
      <c r="C1101" s="4"/>
      <c r="D1101" s="8"/>
      <c r="E1101" s="4"/>
      <c r="F1101" s="8"/>
      <c r="G1101" s="4"/>
      <c r="H1101" s="8"/>
      <c r="I1101" s="4"/>
    </row>
    <row r="1102" spans="1:9" x14ac:dyDescent="0.2">
      <c r="A1102" s="1" t="s">
        <v>49</v>
      </c>
      <c r="C1102" s="4"/>
      <c r="D1102" s="8"/>
      <c r="E1102" s="4"/>
      <c r="F1102" s="8"/>
      <c r="G1102" s="4"/>
      <c r="H1102" s="8"/>
      <c r="I1102" s="4"/>
    </row>
    <row r="1103" spans="1:9" x14ac:dyDescent="0.2">
      <c r="A1103" s="2">
        <v>1</v>
      </c>
      <c r="B1103" s="1" t="s">
        <v>160</v>
      </c>
      <c r="C1103" s="4">
        <v>106</v>
      </c>
      <c r="D1103" s="8">
        <v>3.79</v>
      </c>
      <c r="E1103" s="4">
        <v>36</v>
      </c>
      <c r="F1103" s="8">
        <v>2.4500000000000002</v>
      </c>
      <c r="G1103" s="4">
        <v>70</v>
      </c>
      <c r="H1103" s="8">
        <v>5.36</v>
      </c>
      <c r="I1103" s="4">
        <v>0</v>
      </c>
    </row>
    <row r="1104" spans="1:9" x14ac:dyDescent="0.2">
      <c r="A1104" s="2">
        <v>2</v>
      </c>
      <c r="B1104" s="1" t="s">
        <v>169</v>
      </c>
      <c r="C1104" s="4">
        <v>104</v>
      </c>
      <c r="D1104" s="8">
        <v>3.72</v>
      </c>
      <c r="E1104" s="4">
        <v>99</v>
      </c>
      <c r="F1104" s="8">
        <v>6.74</v>
      </c>
      <c r="G1104" s="4">
        <v>5</v>
      </c>
      <c r="H1104" s="8">
        <v>0.38</v>
      </c>
      <c r="I1104" s="4">
        <v>0</v>
      </c>
    </row>
    <row r="1105" spans="1:9" x14ac:dyDescent="0.2">
      <c r="A1105" s="2">
        <v>3</v>
      </c>
      <c r="B1105" s="1" t="s">
        <v>161</v>
      </c>
      <c r="C1105" s="4">
        <v>100</v>
      </c>
      <c r="D1105" s="8">
        <v>3.58</v>
      </c>
      <c r="E1105" s="4">
        <v>84</v>
      </c>
      <c r="F1105" s="8">
        <v>5.72</v>
      </c>
      <c r="G1105" s="4">
        <v>16</v>
      </c>
      <c r="H1105" s="8">
        <v>1.22</v>
      </c>
      <c r="I1105" s="4">
        <v>0</v>
      </c>
    </row>
    <row r="1106" spans="1:9" x14ac:dyDescent="0.2">
      <c r="A1106" s="2">
        <v>4</v>
      </c>
      <c r="B1106" s="1" t="s">
        <v>159</v>
      </c>
      <c r="C1106" s="4">
        <v>94</v>
      </c>
      <c r="D1106" s="8">
        <v>3.36</v>
      </c>
      <c r="E1106" s="4">
        <v>10</v>
      </c>
      <c r="F1106" s="8">
        <v>0.68</v>
      </c>
      <c r="G1106" s="4">
        <v>84</v>
      </c>
      <c r="H1106" s="8">
        <v>6.43</v>
      </c>
      <c r="I1106" s="4">
        <v>0</v>
      </c>
    </row>
    <row r="1107" spans="1:9" x14ac:dyDescent="0.2">
      <c r="A1107" s="2">
        <v>5</v>
      </c>
      <c r="B1107" s="1" t="s">
        <v>167</v>
      </c>
      <c r="C1107" s="4">
        <v>78</v>
      </c>
      <c r="D1107" s="8">
        <v>2.79</v>
      </c>
      <c r="E1107" s="4">
        <v>74</v>
      </c>
      <c r="F1107" s="8">
        <v>5.04</v>
      </c>
      <c r="G1107" s="4">
        <v>4</v>
      </c>
      <c r="H1107" s="8">
        <v>0.31</v>
      </c>
      <c r="I1107" s="4">
        <v>0</v>
      </c>
    </row>
    <row r="1108" spans="1:9" x14ac:dyDescent="0.2">
      <c r="A1108" s="2">
        <v>6</v>
      </c>
      <c r="B1108" s="1" t="s">
        <v>171</v>
      </c>
      <c r="C1108" s="4">
        <v>76</v>
      </c>
      <c r="D1108" s="8">
        <v>2.72</v>
      </c>
      <c r="E1108" s="4">
        <v>71</v>
      </c>
      <c r="F1108" s="8">
        <v>4.83</v>
      </c>
      <c r="G1108" s="4">
        <v>5</v>
      </c>
      <c r="H1108" s="8">
        <v>0.38</v>
      </c>
      <c r="I1108" s="4">
        <v>0</v>
      </c>
    </row>
    <row r="1109" spans="1:9" x14ac:dyDescent="0.2">
      <c r="A1109" s="2">
        <v>7</v>
      </c>
      <c r="B1109" s="1" t="s">
        <v>165</v>
      </c>
      <c r="C1109" s="4">
        <v>64</v>
      </c>
      <c r="D1109" s="8">
        <v>2.29</v>
      </c>
      <c r="E1109" s="4">
        <v>59</v>
      </c>
      <c r="F1109" s="8">
        <v>4.0199999999999996</v>
      </c>
      <c r="G1109" s="4">
        <v>5</v>
      </c>
      <c r="H1109" s="8">
        <v>0.38</v>
      </c>
      <c r="I1109" s="4">
        <v>0</v>
      </c>
    </row>
    <row r="1110" spans="1:9" x14ac:dyDescent="0.2">
      <c r="A1110" s="2">
        <v>8</v>
      </c>
      <c r="B1110" s="1" t="s">
        <v>168</v>
      </c>
      <c r="C1110" s="4">
        <v>56</v>
      </c>
      <c r="D1110" s="8">
        <v>2</v>
      </c>
      <c r="E1110" s="4">
        <v>55</v>
      </c>
      <c r="F1110" s="8">
        <v>3.74</v>
      </c>
      <c r="G1110" s="4">
        <v>1</v>
      </c>
      <c r="H1110" s="8">
        <v>0.08</v>
      </c>
      <c r="I1110" s="4">
        <v>0</v>
      </c>
    </row>
    <row r="1111" spans="1:9" x14ac:dyDescent="0.2">
      <c r="A1111" s="2">
        <v>9</v>
      </c>
      <c r="B1111" s="1" t="s">
        <v>157</v>
      </c>
      <c r="C1111" s="4">
        <v>55</v>
      </c>
      <c r="D1111" s="8">
        <v>1.97</v>
      </c>
      <c r="E1111" s="4">
        <v>35</v>
      </c>
      <c r="F1111" s="8">
        <v>2.38</v>
      </c>
      <c r="G1111" s="4">
        <v>20</v>
      </c>
      <c r="H1111" s="8">
        <v>1.53</v>
      </c>
      <c r="I1111" s="4">
        <v>0</v>
      </c>
    </row>
    <row r="1112" spans="1:9" x14ac:dyDescent="0.2">
      <c r="A1112" s="2">
        <v>10</v>
      </c>
      <c r="B1112" s="1" t="s">
        <v>215</v>
      </c>
      <c r="C1112" s="4">
        <v>51</v>
      </c>
      <c r="D1112" s="8">
        <v>1.82</v>
      </c>
      <c r="E1112" s="4">
        <v>27</v>
      </c>
      <c r="F1112" s="8">
        <v>1.84</v>
      </c>
      <c r="G1112" s="4">
        <v>24</v>
      </c>
      <c r="H1112" s="8">
        <v>1.84</v>
      </c>
      <c r="I1112" s="4">
        <v>0</v>
      </c>
    </row>
    <row r="1113" spans="1:9" x14ac:dyDescent="0.2">
      <c r="A1113" s="2">
        <v>11</v>
      </c>
      <c r="B1113" s="1" t="s">
        <v>153</v>
      </c>
      <c r="C1113" s="4">
        <v>50</v>
      </c>
      <c r="D1113" s="8">
        <v>1.79</v>
      </c>
      <c r="E1113" s="4">
        <v>14</v>
      </c>
      <c r="F1113" s="8">
        <v>0.95</v>
      </c>
      <c r="G1113" s="4">
        <v>36</v>
      </c>
      <c r="H1113" s="8">
        <v>2.75</v>
      </c>
      <c r="I1113" s="4">
        <v>0</v>
      </c>
    </row>
    <row r="1114" spans="1:9" x14ac:dyDescent="0.2">
      <c r="A1114" s="2">
        <v>12</v>
      </c>
      <c r="B1114" s="1" t="s">
        <v>164</v>
      </c>
      <c r="C1114" s="4">
        <v>49</v>
      </c>
      <c r="D1114" s="8">
        <v>1.75</v>
      </c>
      <c r="E1114" s="4">
        <v>47</v>
      </c>
      <c r="F1114" s="8">
        <v>3.2</v>
      </c>
      <c r="G1114" s="4">
        <v>2</v>
      </c>
      <c r="H1114" s="8">
        <v>0.15</v>
      </c>
      <c r="I1114" s="4">
        <v>0</v>
      </c>
    </row>
    <row r="1115" spans="1:9" x14ac:dyDescent="0.2">
      <c r="A1115" s="2">
        <v>12</v>
      </c>
      <c r="B1115" s="1" t="s">
        <v>170</v>
      </c>
      <c r="C1115" s="4">
        <v>49</v>
      </c>
      <c r="D1115" s="8">
        <v>1.75</v>
      </c>
      <c r="E1115" s="4">
        <v>39</v>
      </c>
      <c r="F1115" s="8">
        <v>2.65</v>
      </c>
      <c r="G1115" s="4">
        <v>10</v>
      </c>
      <c r="H1115" s="8">
        <v>0.77</v>
      </c>
      <c r="I1115" s="4">
        <v>0</v>
      </c>
    </row>
    <row r="1116" spans="1:9" x14ac:dyDescent="0.2">
      <c r="A1116" s="2">
        <v>14</v>
      </c>
      <c r="B1116" s="1" t="s">
        <v>152</v>
      </c>
      <c r="C1116" s="4">
        <v>41</v>
      </c>
      <c r="D1116" s="8">
        <v>1.47</v>
      </c>
      <c r="E1116" s="4">
        <v>7</v>
      </c>
      <c r="F1116" s="8">
        <v>0.48</v>
      </c>
      <c r="G1116" s="4">
        <v>34</v>
      </c>
      <c r="H1116" s="8">
        <v>2.6</v>
      </c>
      <c r="I1116" s="4">
        <v>0</v>
      </c>
    </row>
    <row r="1117" spans="1:9" x14ac:dyDescent="0.2">
      <c r="A1117" s="2">
        <v>15</v>
      </c>
      <c r="B1117" s="1" t="s">
        <v>162</v>
      </c>
      <c r="C1117" s="4">
        <v>37</v>
      </c>
      <c r="D1117" s="8">
        <v>1.32</v>
      </c>
      <c r="E1117" s="4">
        <v>4</v>
      </c>
      <c r="F1117" s="8">
        <v>0.27</v>
      </c>
      <c r="G1117" s="4">
        <v>33</v>
      </c>
      <c r="H1117" s="8">
        <v>2.52</v>
      </c>
      <c r="I1117" s="4">
        <v>0</v>
      </c>
    </row>
    <row r="1118" spans="1:9" x14ac:dyDescent="0.2">
      <c r="A1118" s="2">
        <v>16</v>
      </c>
      <c r="B1118" s="1" t="s">
        <v>210</v>
      </c>
      <c r="C1118" s="4">
        <v>35</v>
      </c>
      <c r="D1118" s="8">
        <v>1.25</v>
      </c>
      <c r="E1118" s="4">
        <v>7</v>
      </c>
      <c r="F1118" s="8">
        <v>0.48</v>
      </c>
      <c r="G1118" s="4">
        <v>28</v>
      </c>
      <c r="H1118" s="8">
        <v>2.14</v>
      </c>
      <c r="I1118" s="4">
        <v>0</v>
      </c>
    </row>
    <row r="1119" spans="1:9" x14ac:dyDescent="0.2">
      <c r="A1119" s="2">
        <v>16</v>
      </c>
      <c r="B1119" s="1" t="s">
        <v>158</v>
      </c>
      <c r="C1119" s="4">
        <v>35</v>
      </c>
      <c r="D1119" s="8">
        <v>1.25</v>
      </c>
      <c r="E1119" s="4">
        <v>8</v>
      </c>
      <c r="F1119" s="8">
        <v>0.54</v>
      </c>
      <c r="G1119" s="4">
        <v>27</v>
      </c>
      <c r="H1119" s="8">
        <v>2.0699999999999998</v>
      </c>
      <c r="I1119" s="4">
        <v>0</v>
      </c>
    </row>
    <row r="1120" spans="1:9" x14ac:dyDescent="0.2">
      <c r="A1120" s="2">
        <v>18</v>
      </c>
      <c r="B1120" s="1" t="s">
        <v>190</v>
      </c>
      <c r="C1120" s="4">
        <v>34</v>
      </c>
      <c r="D1120" s="8">
        <v>1.22</v>
      </c>
      <c r="E1120" s="4">
        <v>10</v>
      </c>
      <c r="F1120" s="8">
        <v>0.68</v>
      </c>
      <c r="G1120" s="4">
        <v>24</v>
      </c>
      <c r="H1120" s="8">
        <v>1.84</v>
      </c>
      <c r="I1120" s="4">
        <v>0</v>
      </c>
    </row>
    <row r="1121" spans="1:9" x14ac:dyDescent="0.2">
      <c r="A1121" s="2">
        <v>18</v>
      </c>
      <c r="B1121" s="1" t="s">
        <v>174</v>
      </c>
      <c r="C1121" s="4">
        <v>34</v>
      </c>
      <c r="D1121" s="8">
        <v>1.22</v>
      </c>
      <c r="E1121" s="4">
        <v>4</v>
      </c>
      <c r="F1121" s="8">
        <v>0.27</v>
      </c>
      <c r="G1121" s="4">
        <v>30</v>
      </c>
      <c r="H1121" s="8">
        <v>2.2999999999999998</v>
      </c>
      <c r="I1121" s="4">
        <v>0</v>
      </c>
    </row>
    <row r="1122" spans="1:9" x14ac:dyDescent="0.2">
      <c r="A1122" s="2">
        <v>18</v>
      </c>
      <c r="B1122" s="1" t="s">
        <v>192</v>
      </c>
      <c r="C1122" s="4">
        <v>34</v>
      </c>
      <c r="D1122" s="8">
        <v>1.22</v>
      </c>
      <c r="E1122" s="4">
        <v>15</v>
      </c>
      <c r="F1122" s="8">
        <v>1.02</v>
      </c>
      <c r="G1122" s="4">
        <v>19</v>
      </c>
      <c r="H1122" s="8">
        <v>1.45</v>
      </c>
      <c r="I1122" s="4">
        <v>0</v>
      </c>
    </row>
    <row r="1123" spans="1:9" x14ac:dyDescent="0.2">
      <c r="A1123" s="1"/>
      <c r="C1123" s="4"/>
      <c r="D1123" s="8"/>
      <c r="E1123" s="4"/>
      <c r="F1123" s="8"/>
      <c r="G1123" s="4"/>
      <c r="H1123" s="8"/>
      <c r="I1123" s="4"/>
    </row>
    <row r="1124" spans="1:9" x14ac:dyDescent="0.2">
      <c r="A1124" s="1" t="s">
        <v>50</v>
      </c>
      <c r="C1124" s="4"/>
      <c r="D1124" s="8"/>
      <c r="E1124" s="4"/>
      <c r="F1124" s="8"/>
      <c r="G1124" s="4"/>
      <c r="H1124" s="8"/>
      <c r="I1124" s="4"/>
    </row>
    <row r="1125" spans="1:9" x14ac:dyDescent="0.2">
      <c r="A1125" s="2">
        <v>1</v>
      </c>
      <c r="B1125" s="1" t="s">
        <v>160</v>
      </c>
      <c r="C1125" s="4">
        <v>216</v>
      </c>
      <c r="D1125" s="8">
        <v>8.7200000000000006</v>
      </c>
      <c r="E1125" s="4">
        <v>130</v>
      </c>
      <c r="F1125" s="8">
        <v>10.99</v>
      </c>
      <c r="G1125" s="4">
        <v>86</v>
      </c>
      <c r="H1125" s="8">
        <v>6.67</v>
      </c>
      <c r="I1125" s="4">
        <v>0</v>
      </c>
    </row>
    <row r="1126" spans="1:9" x14ac:dyDescent="0.2">
      <c r="A1126" s="2">
        <v>2</v>
      </c>
      <c r="B1126" s="1" t="s">
        <v>159</v>
      </c>
      <c r="C1126" s="4">
        <v>87</v>
      </c>
      <c r="D1126" s="8">
        <v>3.51</v>
      </c>
      <c r="E1126" s="4">
        <v>24</v>
      </c>
      <c r="F1126" s="8">
        <v>2.0299999999999998</v>
      </c>
      <c r="G1126" s="4">
        <v>63</v>
      </c>
      <c r="H1126" s="8">
        <v>4.88</v>
      </c>
      <c r="I1126" s="4">
        <v>0</v>
      </c>
    </row>
    <row r="1127" spans="1:9" x14ac:dyDescent="0.2">
      <c r="A1127" s="2">
        <v>3</v>
      </c>
      <c r="B1127" s="1" t="s">
        <v>169</v>
      </c>
      <c r="C1127" s="4">
        <v>84</v>
      </c>
      <c r="D1127" s="8">
        <v>3.39</v>
      </c>
      <c r="E1127" s="4">
        <v>75</v>
      </c>
      <c r="F1127" s="8">
        <v>6.34</v>
      </c>
      <c r="G1127" s="4">
        <v>9</v>
      </c>
      <c r="H1127" s="8">
        <v>0.7</v>
      </c>
      <c r="I1127" s="4">
        <v>0</v>
      </c>
    </row>
    <row r="1128" spans="1:9" x14ac:dyDescent="0.2">
      <c r="A1128" s="2">
        <v>4</v>
      </c>
      <c r="B1128" s="1" t="s">
        <v>161</v>
      </c>
      <c r="C1128" s="4">
        <v>78</v>
      </c>
      <c r="D1128" s="8">
        <v>3.15</v>
      </c>
      <c r="E1128" s="4">
        <v>66</v>
      </c>
      <c r="F1128" s="8">
        <v>5.58</v>
      </c>
      <c r="G1128" s="4">
        <v>12</v>
      </c>
      <c r="H1128" s="8">
        <v>0.93</v>
      </c>
      <c r="I1128" s="4">
        <v>0</v>
      </c>
    </row>
    <row r="1129" spans="1:9" x14ac:dyDescent="0.2">
      <c r="A1129" s="2">
        <v>5</v>
      </c>
      <c r="B1129" s="1" t="s">
        <v>165</v>
      </c>
      <c r="C1129" s="4">
        <v>69</v>
      </c>
      <c r="D1129" s="8">
        <v>2.79</v>
      </c>
      <c r="E1129" s="4">
        <v>68</v>
      </c>
      <c r="F1129" s="8">
        <v>5.75</v>
      </c>
      <c r="G1129" s="4">
        <v>1</v>
      </c>
      <c r="H1129" s="8">
        <v>0.08</v>
      </c>
      <c r="I1129" s="4">
        <v>0</v>
      </c>
    </row>
    <row r="1130" spans="1:9" x14ac:dyDescent="0.2">
      <c r="A1130" s="2">
        <v>6</v>
      </c>
      <c r="B1130" s="1" t="s">
        <v>168</v>
      </c>
      <c r="C1130" s="4">
        <v>63</v>
      </c>
      <c r="D1130" s="8">
        <v>2.54</v>
      </c>
      <c r="E1130" s="4">
        <v>61</v>
      </c>
      <c r="F1130" s="8">
        <v>5.16</v>
      </c>
      <c r="G1130" s="4">
        <v>2</v>
      </c>
      <c r="H1130" s="8">
        <v>0.16</v>
      </c>
      <c r="I1130" s="4">
        <v>0</v>
      </c>
    </row>
    <row r="1131" spans="1:9" x14ac:dyDescent="0.2">
      <c r="A1131" s="2">
        <v>7</v>
      </c>
      <c r="B1131" s="1" t="s">
        <v>171</v>
      </c>
      <c r="C1131" s="4">
        <v>60</v>
      </c>
      <c r="D1131" s="8">
        <v>2.42</v>
      </c>
      <c r="E1131" s="4">
        <v>50</v>
      </c>
      <c r="F1131" s="8">
        <v>4.2300000000000004</v>
      </c>
      <c r="G1131" s="4">
        <v>10</v>
      </c>
      <c r="H1131" s="8">
        <v>0.78</v>
      </c>
      <c r="I1131" s="4">
        <v>0</v>
      </c>
    </row>
    <row r="1132" spans="1:9" x14ac:dyDescent="0.2">
      <c r="A1132" s="2">
        <v>8</v>
      </c>
      <c r="B1132" s="1" t="s">
        <v>167</v>
      </c>
      <c r="C1132" s="4">
        <v>52</v>
      </c>
      <c r="D1132" s="8">
        <v>2.1</v>
      </c>
      <c r="E1132" s="4">
        <v>49</v>
      </c>
      <c r="F1132" s="8">
        <v>4.1399999999999997</v>
      </c>
      <c r="G1132" s="4">
        <v>3</v>
      </c>
      <c r="H1132" s="8">
        <v>0.23</v>
      </c>
      <c r="I1132" s="4">
        <v>0</v>
      </c>
    </row>
    <row r="1133" spans="1:9" x14ac:dyDescent="0.2">
      <c r="A1133" s="2">
        <v>9</v>
      </c>
      <c r="B1133" s="1" t="s">
        <v>157</v>
      </c>
      <c r="C1133" s="4">
        <v>48</v>
      </c>
      <c r="D1133" s="8">
        <v>1.94</v>
      </c>
      <c r="E1133" s="4">
        <v>34</v>
      </c>
      <c r="F1133" s="8">
        <v>2.87</v>
      </c>
      <c r="G1133" s="4">
        <v>14</v>
      </c>
      <c r="H1133" s="8">
        <v>1.0900000000000001</v>
      </c>
      <c r="I1133" s="4">
        <v>0</v>
      </c>
    </row>
    <row r="1134" spans="1:9" x14ac:dyDescent="0.2">
      <c r="A1134" s="2">
        <v>10</v>
      </c>
      <c r="B1134" s="1" t="s">
        <v>192</v>
      </c>
      <c r="C1134" s="4">
        <v>45</v>
      </c>
      <c r="D1134" s="8">
        <v>1.82</v>
      </c>
      <c r="E1134" s="4">
        <v>10</v>
      </c>
      <c r="F1134" s="8">
        <v>0.85</v>
      </c>
      <c r="G1134" s="4">
        <v>35</v>
      </c>
      <c r="H1134" s="8">
        <v>2.71</v>
      </c>
      <c r="I1134" s="4">
        <v>0</v>
      </c>
    </row>
    <row r="1135" spans="1:9" x14ac:dyDescent="0.2">
      <c r="A1135" s="2">
        <v>10</v>
      </c>
      <c r="B1135" s="1" t="s">
        <v>162</v>
      </c>
      <c r="C1135" s="4">
        <v>45</v>
      </c>
      <c r="D1135" s="8">
        <v>1.82</v>
      </c>
      <c r="E1135" s="4">
        <v>5</v>
      </c>
      <c r="F1135" s="8">
        <v>0.42</v>
      </c>
      <c r="G1135" s="4">
        <v>40</v>
      </c>
      <c r="H1135" s="8">
        <v>3.1</v>
      </c>
      <c r="I1135" s="4">
        <v>0</v>
      </c>
    </row>
    <row r="1136" spans="1:9" x14ac:dyDescent="0.2">
      <c r="A1136" s="2">
        <v>12</v>
      </c>
      <c r="B1136" s="1" t="s">
        <v>152</v>
      </c>
      <c r="C1136" s="4">
        <v>41</v>
      </c>
      <c r="D1136" s="8">
        <v>1.66</v>
      </c>
      <c r="E1136" s="4">
        <v>7</v>
      </c>
      <c r="F1136" s="8">
        <v>0.59</v>
      </c>
      <c r="G1136" s="4">
        <v>34</v>
      </c>
      <c r="H1136" s="8">
        <v>2.64</v>
      </c>
      <c r="I1136" s="4">
        <v>0</v>
      </c>
    </row>
    <row r="1137" spans="1:9" x14ac:dyDescent="0.2">
      <c r="A1137" s="2">
        <v>12</v>
      </c>
      <c r="B1137" s="1" t="s">
        <v>153</v>
      </c>
      <c r="C1137" s="4">
        <v>41</v>
      </c>
      <c r="D1137" s="8">
        <v>1.66</v>
      </c>
      <c r="E1137" s="4">
        <v>14</v>
      </c>
      <c r="F1137" s="8">
        <v>1.18</v>
      </c>
      <c r="G1137" s="4">
        <v>27</v>
      </c>
      <c r="H1137" s="8">
        <v>2.09</v>
      </c>
      <c r="I1137" s="4">
        <v>0</v>
      </c>
    </row>
    <row r="1138" spans="1:9" x14ac:dyDescent="0.2">
      <c r="A1138" s="2">
        <v>14</v>
      </c>
      <c r="B1138" s="1" t="s">
        <v>215</v>
      </c>
      <c r="C1138" s="4">
        <v>40</v>
      </c>
      <c r="D1138" s="8">
        <v>1.61</v>
      </c>
      <c r="E1138" s="4">
        <v>25</v>
      </c>
      <c r="F1138" s="8">
        <v>2.11</v>
      </c>
      <c r="G1138" s="4">
        <v>15</v>
      </c>
      <c r="H1138" s="8">
        <v>1.1599999999999999</v>
      </c>
      <c r="I1138" s="4">
        <v>0</v>
      </c>
    </row>
    <row r="1139" spans="1:9" x14ac:dyDescent="0.2">
      <c r="A1139" s="2">
        <v>15</v>
      </c>
      <c r="B1139" s="1" t="s">
        <v>164</v>
      </c>
      <c r="C1139" s="4">
        <v>34</v>
      </c>
      <c r="D1139" s="8">
        <v>1.37</v>
      </c>
      <c r="E1139" s="4">
        <v>30</v>
      </c>
      <c r="F1139" s="8">
        <v>2.54</v>
      </c>
      <c r="G1139" s="4">
        <v>4</v>
      </c>
      <c r="H1139" s="8">
        <v>0.31</v>
      </c>
      <c r="I1139" s="4">
        <v>0</v>
      </c>
    </row>
    <row r="1140" spans="1:9" x14ac:dyDescent="0.2">
      <c r="A1140" s="2">
        <v>16</v>
      </c>
      <c r="B1140" s="1" t="s">
        <v>170</v>
      </c>
      <c r="C1140" s="4">
        <v>32</v>
      </c>
      <c r="D1140" s="8">
        <v>1.29</v>
      </c>
      <c r="E1140" s="4">
        <v>20</v>
      </c>
      <c r="F1140" s="8">
        <v>1.69</v>
      </c>
      <c r="G1140" s="4">
        <v>12</v>
      </c>
      <c r="H1140" s="8">
        <v>0.93</v>
      </c>
      <c r="I1140" s="4">
        <v>0</v>
      </c>
    </row>
    <row r="1141" spans="1:9" x14ac:dyDescent="0.2">
      <c r="A1141" s="2">
        <v>17</v>
      </c>
      <c r="B1141" s="1" t="s">
        <v>158</v>
      </c>
      <c r="C1141" s="4">
        <v>31</v>
      </c>
      <c r="D1141" s="8">
        <v>1.25</v>
      </c>
      <c r="E1141" s="4">
        <v>2</v>
      </c>
      <c r="F1141" s="8">
        <v>0.17</v>
      </c>
      <c r="G1141" s="4">
        <v>29</v>
      </c>
      <c r="H1141" s="8">
        <v>2.25</v>
      </c>
      <c r="I1141" s="4">
        <v>0</v>
      </c>
    </row>
    <row r="1142" spans="1:9" x14ac:dyDescent="0.2">
      <c r="A1142" s="2">
        <v>18</v>
      </c>
      <c r="B1142" s="1" t="s">
        <v>210</v>
      </c>
      <c r="C1142" s="4">
        <v>30</v>
      </c>
      <c r="D1142" s="8">
        <v>1.21</v>
      </c>
      <c r="E1142" s="4">
        <v>6</v>
      </c>
      <c r="F1142" s="8">
        <v>0.51</v>
      </c>
      <c r="G1142" s="4">
        <v>24</v>
      </c>
      <c r="H1142" s="8">
        <v>1.86</v>
      </c>
      <c r="I1142" s="4">
        <v>0</v>
      </c>
    </row>
    <row r="1143" spans="1:9" x14ac:dyDescent="0.2">
      <c r="A1143" s="2">
        <v>18</v>
      </c>
      <c r="B1143" s="1" t="s">
        <v>198</v>
      </c>
      <c r="C1143" s="4">
        <v>30</v>
      </c>
      <c r="D1143" s="8">
        <v>1.21</v>
      </c>
      <c r="E1143" s="4">
        <v>19</v>
      </c>
      <c r="F1143" s="8">
        <v>1.61</v>
      </c>
      <c r="G1143" s="4">
        <v>11</v>
      </c>
      <c r="H1143" s="8">
        <v>0.85</v>
      </c>
      <c r="I1143" s="4">
        <v>0</v>
      </c>
    </row>
    <row r="1144" spans="1:9" x14ac:dyDescent="0.2">
      <c r="A1144" s="2">
        <v>20</v>
      </c>
      <c r="B1144" s="1" t="s">
        <v>156</v>
      </c>
      <c r="C1144" s="4">
        <v>29</v>
      </c>
      <c r="D1144" s="8">
        <v>1.17</v>
      </c>
      <c r="E1144" s="4">
        <v>18</v>
      </c>
      <c r="F1144" s="8">
        <v>1.52</v>
      </c>
      <c r="G1144" s="4">
        <v>11</v>
      </c>
      <c r="H1144" s="8">
        <v>0.85</v>
      </c>
      <c r="I1144" s="4">
        <v>0</v>
      </c>
    </row>
    <row r="1145" spans="1:9" x14ac:dyDescent="0.2">
      <c r="A1145" s="1"/>
      <c r="C1145" s="4"/>
      <c r="D1145" s="8"/>
      <c r="E1145" s="4"/>
      <c r="F1145" s="8"/>
      <c r="G1145" s="4"/>
      <c r="H1145" s="8"/>
      <c r="I1145" s="4"/>
    </row>
    <row r="1146" spans="1:9" x14ac:dyDescent="0.2">
      <c r="A1146" s="1" t="s">
        <v>51</v>
      </c>
      <c r="C1146" s="4"/>
      <c r="D1146" s="8"/>
      <c r="E1146" s="4"/>
      <c r="F1146" s="8"/>
      <c r="G1146" s="4"/>
      <c r="H1146" s="8"/>
      <c r="I1146" s="4"/>
    </row>
    <row r="1147" spans="1:9" x14ac:dyDescent="0.2">
      <c r="A1147" s="2">
        <v>1</v>
      </c>
      <c r="B1147" s="1" t="s">
        <v>169</v>
      </c>
      <c r="C1147" s="4">
        <v>155</v>
      </c>
      <c r="D1147" s="8">
        <v>4.54</v>
      </c>
      <c r="E1147" s="4">
        <v>144</v>
      </c>
      <c r="F1147" s="8">
        <v>7.48</v>
      </c>
      <c r="G1147" s="4">
        <v>11</v>
      </c>
      <c r="H1147" s="8">
        <v>0.74</v>
      </c>
      <c r="I1147" s="4">
        <v>0</v>
      </c>
    </row>
    <row r="1148" spans="1:9" x14ac:dyDescent="0.2">
      <c r="A1148" s="2">
        <v>2</v>
      </c>
      <c r="B1148" s="1" t="s">
        <v>160</v>
      </c>
      <c r="C1148" s="4">
        <v>133</v>
      </c>
      <c r="D1148" s="8">
        <v>3.89</v>
      </c>
      <c r="E1148" s="4">
        <v>52</v>
      </c>
      <c r="F1148" s="8">
        <v>2.7</v>
      </c>
      <c r="G1148" s="4">
        <v>81</v>
      </c>
      <c r="H1148" s="8">
        <v>5.47</v>
      </c>
      <c r="I1148" s="4">
        <v>0</v>
      </c>
    </row>
    <row r="1149" spans="1:9" x14ac:dyDescent="0.2">
      <c r="A1149" s="2">
        <v>3</v>
      </c>
      <c r="B1149" s="1" t="s">
        <v>171</v>
      </c>
      <c r="C1149" s="4">
        <v>111</v>
      </c>
      <c r="D1149" s="8">
        <v>3.25</v>
      </c>
      <c r="E1149" s="4">
        <v>101</v>
      </c>
      <c r="F1149" s="8">
        <v>5.25</v>
      </c>
      <c r="G1149" s="4">
        <v>10</v>
      </c>
      <c r="H1149" s="8">
        <v>0.67</v>
      </c>
      <c r="I1149" s="4">
        <v>0</v>
      </c>
    </row>
    <row r="1150" spans="1:9" x14ac:dyDescent="0.2">
      <c r="A1150" s="2">
        <v>4</v>
      </c>
      <c r="B1150" s="1" t="s">
        <v>170</v>
      </c>
      <c r="C1150" s="4">
        <v>98</v>
      </c>
      <c r="D1150" s="8">
        <v>2.87</v>
      </c>
      <c r="E1150" s="4">
        <v>75</v>
      </c>
      <c r="F1150" s="8">
        <v>3.9</v>
      </c>
      <c r="G1150" s="4">
        <v>22</v>
      </c>
      <c r="H1150" s="8">
        <v>1.48</v>
      </c>
      <c r="I1150" s="4">
        <v>1</v>
      </c>
    </row>
    <row r="1151" spans="1:9" x14ac:dyDescent="0.2">
      <c r="A1151" s="2">
        <v>5</v>
      </c>
      <c r="B1151" s="1" t="s">
        <v>168</v>
      </c>
      <c r="C1151" s="4">
        <v>94</v>
      </c>
      <c r="D1151" s="8">
        <v>2.75</v>
      </c>
      <c r="E1151" s="4">
        <v>92</v>
      </c>
      <c r="F1151" s="8">
        <v>4.78</v>
      </c>
      <c r="G1151" s="4">
        <v>2</v>
      </c>
      <c r="H1151" s="8">
        <v>0.13</v>
      </c>
      <c r="I1151" s="4">
        <v>0</v>
      </c>
    </row>
    <row r="1152" spans="1:9" x14ac:dyDescent="0.2">
      <c r="A1152" s="2">
        <v>6</v>
      </c>
      <c r="B1152" s="1" t="s">
        <v>215</v>
      </c>
      <c r="C1152" s="4">
        <v>91</v>
      </c>
      <c r="D1152" s="8">
        <v>2.66</v>
      </c>
      <c r="E1152" s="4">
        <v>55</v>
      </c>
      <c r="F1152" s="8">
        <v>2.86</v>
      </c>
      <c r="G1152" s="4">
        <v>36</v>
      </c>
      <c r="H1152" s="8">
        <v>2.4300000000000002</v>
      </c>
      <c r="I1152" s="4">
        <v>0</v>
      </c>
    </row>
    <row r="1153" spans="1:9" x14ac:dyDescent="0.2">
      <c r="A1153" s="2">
        <v>7</v>
      </c>
      <c r="B1153" s="1" t="s">
        <v>161</v>
      </c>
      <c r="C1153" s="4">
        <v>87</v>
      </c>
      <c r="D1153" s="8">
        <v>2.5499999999999998</v>
      </c>
      <c r="E1153" s="4">
        <v>72</v>
      </c>
      <c r="F1153" s="8">
        <v>3.74</v>
      </c>
      <c r="G1153" s="4">
        <v>15</v>
      </c>
      <c r="H1153" s="8">
        <v>1.01</v>
      </c>
      <c r="I1153" s="4">
        <v>0</v>
      </c>
    </row>
    <row r="1154" spans="1:9" x14ac:dyDescent="0.2">
      <c r="A1154" s="2">
        <v>8</v>
      </c>
      <c r="B1154" s="1" t="s">
        <v>157</v>
      </c>
      <c r="C1154" s="4">
        <v>77</v>
      </c>
      <c r="D1154" s="8">
        <v>2.25</v>
      </c>
      <c r="E1154" s="4">
        <v>54</v>
      </c>
      <c r="F1154" s="8">
        <v>2.81</v>
      </c>
      <c r="G1154" s="4">
        <v>23</v>
      </c>
      <c r="H1154" s="8">
        <v>1.55</v>
      </c>
      <c r="I1154" s="4">
        <v>0</v>
      </c>
    </row>
    <row r="1155" spans="1:9" x14ac:dyDescent="0.2">
      <c r="A1155" s="2">
        <v>9</v>
      </c>
      <c r="B1155" s="1" t="s">
        <v>165</v>
      </c>
      <c r="C1155" s="4">
        <v>75</v>
      </c>
      <c r="D1155" s="8">
        <v>2.2000000000000002</v>
      </c>
      <c r="E1155" s="4">
        <v>72</v>
      </c>
      <c r="F1155" s="8">
        <v>3.74</v>
      </c>
      <c r="G1155" s="4">
        <v>3</v>
      </c>
      <c r="H1155" s="8">
        <v>0.2</v>
      </c>
      <c r="I1155" s="4">
        <v>0</v>
      </c>
    </row>
    <row r="1156" spans="1:9" x14ac:dyDescent="0.2">
      <c r="A1156" s="2">
        <v>10</v>
      </c>
      <c r="B1156" s="1" t="s">
        <v>167</v>
      </c>
      <c r="C1156" s="4">
        <v>73</v>
      </c>
      <c r="D1156" s="8">
        <v>2.14</v>
      </c>
      <c r="E1156" s="4">
        <v>71</v>
      </c>
      <c r="F1156" s="8">
        <v>3.69</v>
      </c>
      <c r="G1156" s="4">
        <v>2</v>
      </c>
      <c r="H1156" s="8">
        <v>0.13</v>
      </c>
      <c r="I1156" s="4">
        <v>0</v>
      </c>
    </row>
    <row r="1157" spans="1:9" x14ac:dyDescent="0.2">
      <c r="A1157" s="2">
        <v>11</v>
      </c>
      <c r="B1157" s="1" t="s">
        <v>190</v>
      </c>
      <c r="C1157" s="4">
        <v>70</v>
      </c>
      <c r="D1157" s="8">
        <v>2.0499999999999998</v>
      </c>
      <c r="E1157" s="4">
        <v>11</v>
      </c>
      <c r="F1157" s="8">
        <v>0.56999999999999995</v>
      </c>
      <c r="G1157" s="4">
        <v>59</v>
      </c>
      <c r="H1157" s="8">
        <v>3.98</v>
      </c>
      <c r="I1157" s="4">
        <v>0</v>
      </c>
    </row>
    <row r="1158" spans="1:9" x14ac:dyDescent="0.2">
      <c r="A1158" s="2">
        <v>12</v>
      </c>
      <c r="B1158" s="1" t="s">
        <v>159</v>
      </c>
      <c r="C1158" s="4">
        <v>67</v>
      </c>
      <c r="D1158" s="8">
        <v>1.96</v>
      </c>
      <c r="E1158" s="4">
        <v>16</v>
      </c>
      <c r="F1158" s="8">
        <v>0.83</v>
      </c>
      <c r="G1158" s="4">
        <v>51</v>
      </c>
      <c r="H1158" s="8">
        <v>3.44</v>
      </c>
      <c r="I1158" s="4">
        <v>0</v>
      </c>
    </row>
    <row r="1159" spans="1:9" x14ac:dyDescent="0.2">
      <c r="A1159" s="2">
        <v>13</v>
      </c>
      <c r="B1159" s="1" t="s">
        <v>153</v>
      </c>
      <c r="C1159" s="4">
        <v>62</v>
      </c>
      <c r="D1159" s="8">
        <v>1.82</v>
      </c>
      <c r="E1159" s="4">
        <v>20</v>
      </c>
      <c r="F1159" s="8">
        <v>1.04</v>
      </c>
      <c r="G1159" s="4">
        <v>42</v>
      </c>
      <c r="H1159" s="8">
        <v>2.83</v>
      </c>
      <c r="I1159" s="4">
        <v>0</v>
      </c>
    </row>
    <row r="1160" spans="1:9" x14ac:dyDescent="0.2">
      <c r="A1160" s="2">
        <v>13</v>
      </c>
      <c r="B1160" s="1" t="s">
        <v>198</v>
      </c>
      <c r="C1160" s="4">
        <v>62</v>
      </c>
      <c r="D1160" s="8">
        <v>1.82</v>
      </c>
      <c r="E1160" s="4">
        <v>52</v>
      </c>
      <c r="F1160" s="8">
        <v>2.7</v>
      </c>
      <c r="G1160" s="4">
        <v>10</v>
      </c>
      <c r="H1160" s="8">
        <v>0.67</v>
      </c>
      <c r="I1160" s="4">
        <v>0</v>
      </c>
    </row>
    <row r="1161" spans="1:9" x14ac:dyDescent="0.2">
      <c r="A1161" s="2">
        <v>15</v>
      </c>
      <c r="B1161" s="1" t="s">
        <v>152</v>
      </c>
      <c r="C1161" s="4">
        <v>61</v>
      </c>
      <c r="D1161" s="8">
        <v>1.79</v>
      </c>
      <c r="E1161" s="4">
        <v>12</v>
      </c>
      <c r="F1161" s="8">
        <v>0.62</v>
      </c>
      <c r="G1161" s="4">
        <v>49</v>
      </c>
      <c r="H1161" s="8">
        <v>3.31</v>
      </c>
      <c r="I1161" s="4">
        <v>0</v>
      </c>
    </row>
    <row r="1162" spans="1:9" x14ac:dyDescent="0.2">
      <c r="A1162" s="2">
        <v>15</v>
      </c>
      <c r="B1162" s="1" t="s">
        <v>164</v>
      </c>
      <c r="C1162" s="4">
        <v>61</v>
      </c>
      <c r="D1162" s="8">
        <v>1.79</v>
      </c>
      <c r="E1162" s="4">
        <v>56</v>
      </c>
      <c r="F1162" s="8">
        <v>2.91</v>
      </c>
      <c r="G1162" s="4">
        <v>5</v>
      </c>
      <c r="H1162" s="8">
        <v>0.34</v>
      </c>
      <c r="I1162" s="4">
        <v>0</v>
      </c>
    </row>
    <row r="1163" spans="1:9" x14ac:dyDescent="0.2">
      <c r="A1163" s="2">
        <v>17</v>
      </c>
      <c r="B1163" s="1" t="s">
        <v>174</v>
      </c>
      <c r="C1163" s="4">
        <v>52</v>
      </c>
      <c r="D1163" s="8">
        <v>1.52</v>
      </c>
      <c r="E1163" s="4">
        <v>15</v>
      </c>
      <c r="F1163" s="8">
        <v>0.78</v>
      </c>
      <c r="G1163" s="4">
        <v>37</v>
      </c>
      <c r="H1163" s="8">
        <v>2.5</v>
      </c>
      <c r="I1163" s="4">
        <v>0</v>
      </c>
    </row>
    <row r="1164" spans="1:9" x14ac:dyDescent="0.2">
      <c r="A1164" s="2">
        <v>17</v>
      </c>
      <c r="B1164" s="1" t="s">
        <v>229</v>
      </c>
      <c r="C1164" s="4">
        <v>52</v>
      </c>
      <c r="D1164" s="8">
        <v>1.52</v>
      </c>
      <c r="E1164" s="4">
        <v>37</v>
      </c>
      <c r="F1164" s="8">
        <v>1.92</v>
      </c>
      <c r="G1164" s="4">
        <v>15</v>
      </c>
      <c r="H1164" s="8">
        <v>1.01</v>
      </c>
      <c r="I1164" s="4">
        <v>0</v>
      </c>
    </row>
    <row r="1165" spans="1:9" x14ac:dyDescent="0.2">
      <c r="A1165" s="2">
        <v>19</v>
      </c>
      <c r="B1165" s="1" t="s">
        <v>166</v>
      </c>
      <c r="C1165" s="4">
        <v>45</v>
      </c>
      <c r="D1165" s="8">
        <v>1.32</v>
      </c>
      <c r="E1165" s="4">
        <v>44</v>
      </c>
      <c r="F1165" s="8">
        <v>2.29</v>
      </c>
      <c r="G1165" s="4">
        <v>1</v>
      </c>
      <c r="H1165" s="8">
        <v>7.0000000000000007E-2</v>
      </c>
      <c r="I1165" s="4">
        <v>0</v>
      </c>
    </row>
    <row r="1166" spans="1:9" x14ac:dyDescent="0.2">
      <c r="A1166" s="2">
        <v>20</v>
      </c>
      <c r="B1166" s="1" t="s">
        <v>199</v>
      </c>
      <c r="C1166" s="4">
        <v>43</v>
      </c>
      <c r="D1166" s="8">
        <v>1.26</v>
      </c>
      <c r="E1166" s="4">
        <v>33</v>
      </c>
      <c r="F1166" s="8">
        <v>1.72</v>
      </c>
      <c r="G1166" s="4">
        <v>10</v>
      </c>
      <c r="H1166" s="8">
        <v>0.67</v>
      </c>
      <c r="I1166" s="4">
        <v>0</v>
      </c>
    </row>
    <row r="1167" spans="1:9" x14ac:dyDescent="0.2">
      <c r="A1167" s="1"/>
      <c r="C1167" s="4"/>
      <c r="D1167" s="8"/>
      <c r="E1167" s="4"/>
      <c r="F1167" s="8"/>
      <c r="G1167" s="4"/>
      <c r="H1167" s="8"/>
      <c r="I1167" s="4"/>
    </row>
    <row r="1168" spans="1:9" x14ac:dyDescent="0.2">
      <c r="A1168" s="1" t="s">
        <v>52</v>
      </c>
      <c r="C1168" s="4"/>
      <c r="D1168" s="8"/>
      <c r="E1168" s="4"/>
      <c r="F1168" s="8"/>
      <c r="G1168" s="4"/>
      <c r="H1168" s="8"/>
      <c r="I1168" s="4"/>
    </row>
    <row r="1169" spans="1:9" x14ac:dyDescent="0.2">
      <c r="A1169" s="2">
        <v>1</v>
      </c>
      <c r="B1169" s="1" t="s">
        <v>160</v>
      </c>
      <c r="C1169" s="4">
        <v>241</v>
      </c>
      <c r="D1169" s="8">
        <v>10.5</v>
      </c>
      <c r="E1169" s="4">
        <v>67</v>
      </c>
      <c r="F1169" s="8">
        <v>7.6</v>
      </c>
      <c r="G1169" s="4">
        <v>174</v>
      </c>
      <c r="H1169" s="8">
        <v>12.35</v>
      </c>
      <c r="I1169" s="4">
        <v>0</v>
      </c>
    </row>
    <row r="1170" spans="1:9" x14ac:dyDescent="0.2">
      <c r="A1170" s="2">
        <v>2</v>
      </c>
      <c r="B1170" s="1" t="s">
        <v>169</v>
      </c>
      <c r="C1170" s="4">
        <v>101</v>
      </c>
      <c r="D1170" s="8">
        <v>4.4000000000000004</v>
      </c>
      <c r="E1170" s="4">
        <v>95</v>
      </c>
      <c r="F1170" s="8">
        <v>10.78</v>
      </c>
      <c r="G1170" s="4">
        <v>6</v>
      </c>
      <c r="H1170" s="8">
        <v>0.43</v>
      </c>
      <c r="I1170" s="4">
        <v>0</v>
      </c>
    </row>
    <row r="1171" spans="1:9" x14ac:dyDescent="0.2">
      <c r="A1171" s="2">
        <v>3</v>
      </c>
      <c r="B1171" s="1" t="s">
        <v>159</v>
      </c>
      <c r="C1171" s="4">
        <v>84</v>
      </c>
      <c r="D1171" s="8">
        <v>3.66</v>
      </c>
      <c r="E1171" s="4">
        <v>2</v>
      </c>
      <c r="F1171" s="8">
        <v>0.23</v>
      </c>
      <c r="G1171" s="4">
        <v>82</v>
      </c>
      <c r="H1171" s="8">
        <v>5.82</v>
      </c>
      <c r="I1171" s="4">
        <v>0</v>
      </c>
    </row>
    <row r="1172" spans="1:9" x14ac:dyDescent="0.2">
      <c r="A1172" s="2">
        <v>4</v>
      </c>
      <c r="B1172" s="1" t="s">
        <v>162</v>
      </c>
      <c r="C1172" s="4">
        <v>77</v>
      </c>
      <c r="D1172" s="8">
        <v>3.36</v>
      </c>
      <c r="E1172" s="4">
        <v>0</v>
      </c>
      <c r="F1172" s="8">
        <v>0</v>
      </c>
      <c r="G1172" s="4">
        <v>75</v>
      </c>
      <c r="H1172" s="8">
        <v>5.32</v>
      </c>
      <c r="I1172" s="4">
        <v>2</v>
      </c>
    </row>
    <row r="1173" spans="1:9" x14ac:dyDescent="0.2">
      <c r="A1173" s="2">
        <v>5</v>
      </c>
      <c r="B1173" s="1" t="s">
        <v>171</v>
      </c>
      <c r="C1173" s="4">
        <v>71</v>
      </c>
      <c r="D1173" s="8">
        <v>3.09</v>
      </c>
      <c r="E1173" s="4">
        <v>64</v>
      </c>
      <c r="F1173" s="8">
        <v>7.26</v>
      </c>
      <c r="G1173" s="4">
        <v>7</v>
      </c>
      <c r="H1173" s="8">
        <v>0.5</v>
      </c>
      <c r="I1173" s="4">
        <v>0</v>
      </c>
    </row>
    <row r="1174" spans="1:9" x14ac:dyDescent="0.2">
      <c r="A1174" s="2">
        <v>6</v>
      </c>
      <c r="B1174" s="1" t="s">
        <v>167</v>
      </c>
      <c r="C1174" s="4">
        <v>55</v>
      </c>
      <c r="D1174" s="8">
        <v>2.4</v>
      </c>
      <c r="E1174" s="4">
        <v>47</v>
      </c>
      <c r="F1174" s="8">
        <v>5.33</v>
      </c>
      <c r="G1174" s="4">
        <v>8</v>
      </c>
      <c r="H1174" s="8">
        <v>0.56999999999999995</v>
      </c>
      <c r="I1174" s="4">
        <v>0</v>
      </c>
    </row>
    <row r="1175" spans="1:9" x14ac:dyDescent="0.2">
      <c r="A1175" s="2">
        <v>7</v>
      </c>
      <c r="B1175" s="1" t="s">
        <v>158</v>
      </c>
      <c r="C1175" s="4">
        <v>47</v>
      </c>
      <c r="D1175" s="8">
        <v>2.0499999999999998</v>
      </c>
      <c r="E1175" s="4">
        <v>5</v>
      </c>
      <c r="F1175" s="8">
        <v>0.56999999999999995</v>
      </c>
      <c r="G1175" s="4">
        <v>42</v>
      </c>
      <c r="H1175" s="8">
        <v>2.98</v>
      </c>
      <c r="I1175" s="4">
        <v>0</v>
      </c>
    </row>
    <row r="1176" spans="1:9" x14ac:dyDescent="0.2">
      <c r="A1176" s="2">
        <v>7</v>
      </c>
      <c r="B1176" s="1" t="s">
        <v>164</v>
      </c>
      <c r="C1176" s="4">
        <v>47</v>
      </c>
      <c r="D1176" s="8">
        <v>2.0499999999999998</v>
      </c>
      <c r="E1176" s="4">
        <v>39</v>
      </c>
      <c r="F1176" s="8">
        <v>4.43</v>
      </c>
      <c r="G1176" s="4">
        <v>8</v>
      </c>
      <c r="H1176" s="8">
        <v>0.56999999999999995</v>
      </c>
      <c r="I1176" s="4">
        <v>0</v>
      </c>
    </row>
    <row r="1177" spans="1:9" x14ac:dyDescent="0.2">
      <c r="A1177" s="2">
        <v>9</v>
      </c>
      <c r="B1177" s="1" t="s">
        <v>170</v>
      </c>
      <c r="C1177" s="4">
        <v>44</v>
      </c>
      <c r="D1177" s="8">
        <v>1.92</v>
      </c>
      <c r="E1177" s="4">
        <v>36</v>
      </c>
      <c r="F1177" s="8">
        <v>4.09</v>
      </c>
      <c r="G1177" s="4">
        <v>8</v>
      </c>
      <c r="H1177" s="8">
        <v>0.56999999999999995</v>
      </c>
      <c r="I1177" s="4">
        <v>0</v>
      </c>
    </row>
    <row r="1178" spans="1:9" x14ac:dyDescent="0.2">
      <c r="A1178" s="2">
        <v>10</v>
      </c>
      <c r="B1178" s="1" t="s">
        <v>215</v>
      </c>
      <c r="C1178" s="4">
        <v>43</v>
      </c>
      <c r="D1178" s="8">
        <v>1.87</v>
      </c>
      <c r="E1178" s="4">
        <v>12</v>
      </c>
      <c r="F1178" s="8">
        <v>1.36</v>
      </c>
      <c r="G1178" s="4">
        <v>31</v>
      </c>
      <c r="H1178" s="8">
        <v>2.2000000000000002</v>
      </c>
      <c r="I1178" s="4">
        <v>0</v>
      </c>
    </row>
    <row r="1179" spans="1:9" x14ac:dyDescent="0.2">
      <c r="A1179" s="2">
        <v>11</v>
      </c>
      <c r="B1179" s="1" t="s">
        <v>190</v>
      </c>
      <c r="C1179" s="4">
        <v>42</v>
      </c>
      <c r="D1179" s="8">
        <v>1.83</v>
      </c>
      <c r="E1179" s="4">
        <v>5</v>
      </c>
      <c r="F1179" s="8">
        <v>0.56999999999999995</v>
      </c>
      <c r="G1179" s="4">
        <v>37</v>
      </c>
      <c r="H1179" s="8">
        <v>2.63</v>
      </c>
      <c r="I1179" s="4">
        <v>0</v>
      </c>
    </row>
    <row r="1180" spans="1:9" x14ac:dyDescent="0.2">
      <c r="A1180" s="2">
        <v>12</v>
      </c>
      <c r="B1180" s="1" t="s">
        <v>157</v>
      </c>
      <c r="C1180" s="4">
        <v>40</v>
      </c>
      <c r="D1180" s="8">
        <v>1.74</v>
      </c>
      <c r="E1180" s="4">
        <v>25</v>
      </c>
      <c r="F1180" s="8">
        <v>2.84</v>
      </c>
      <c r="G1180" s="4">
        <v>15</v>
      </c>
      <c r="H1180" s="8">
        <v>1.06</v>
      </c>
      <c r="I1180" s="4">
        <v>0</v>
      </c>
    </row>
    <row r="1181" spans="1:9" x14ac:dyDescent="0.2">
      <c r="A1181" s="2">
        <v>13</v>
      </c>
      <c r="B1181" s="1" t="s">
        <v>181</v>
      </c>
      <c r="C1181" s="4">
        <v>39</v>
      </c>
      <c r="D1181" s="8">
        <v>1.7</v>
      </c>
      <c r="E1181" s="4">
        <v>36</v>
      </c>
      <c r="F1181" s="8">
        <v>4.09</v>
      </c>
      <c r="G1181" s="4">
        <v>3</v>
      </c>
      <c r="H1181" s="8">
        <v>0.21</v>
      </c>
      <c r="I1181" s="4">
        <v>0</v>
      </c>
    </row>
    <row r="1182" spans="1:9" x14ac:dyDescent="0.2">
      <c r="A1182" s="2">
        <v>14</v>
      </c>
      <c r="B1182" s="1" t="s">
        <v>168</v>
      </c>
      <c r="C1182" s="4">
        <v>38</v>
      </c>
      <c r="D1182" s="8">
        <v>1.66</v>
      </c>
      <c r="E1182" s="4">
        <v>32</v>
      </c>
      <c r="F1182" s="8">
        <v>3.63</v>
      </c>
      <c r="G1182" s="4">
        <v>6</v>
      </c>
      <c r="H1182" s="8">
        <v>0.43</v>
      </c>
      <c r="I1182" s="4">
        <v>0</v>
      </c>
    </row>
    <row r="1183" spans="1:9" x14ac:dyDescent="0.2">
      <c r="A1183" s="2">
        <v>15</v>
      </c>
      <c r="B1183" s="1" t="s">
        <v>152</v>
      </c>
      <c r="C1183" s="4">
        <v>36</v>
      </c>
      <c r="D1183" s="8">
        <v>1.57</v>
      </c>
      <c r="E1183" s="4">
        <v>6</v>
      </c>
      <c r="F1183" s="8">
        <v>0.68</v>
      </c>
      <c r="G1183" s="4">
        <v>30</v>
      </c>
      <c r="H1183" s="8">
        <v>2.13</v>
      </c>
      <c r="I1183" s="4">
        <v>0</v>
      </c>
    </row>
    <row r="1184" spans="1:9" x14ac:dyDescent="0.2">
      <c r="A1184" s="2">
        <v>16</v>
      </c>
      <c r="B1184" s="1" t="s">
        <v>233</v>
      </c>
      <c r="C1184" s="4">
        <v>34</v>
      </c>
      <c r="D1184" s="8">
        <v>1.48</v>
      </c>
      <c r="E1184" s="4">
        <v>5</v>
      </c>
      <c r="F1184" s="8">
        <v>0.56999999999999995</v>
      </c>
      <c r="G1184" s="4">
        <v>29</v>
      </c>
      <c r="H1184" s="8">
        <v>2.06</v>
      </c>
      <c r="I1184" s="4">
        <v>0</v>
      </c>
    </row>
    <row r="1185" spans="1:9" x14ac:dyDescent="0.2">
      <c r="A1185" s="2">
        <v>17</v>
      </c>
      <c r="B1185" s="1" t="s">
        <v>210</v>
      </c>
      <c r="C1185" s="4">
        <v>30</v>
      </c>
      <c r="D1185" s="8">
        <v>1.31</v>
      </c>
      <c r="E1185" s="4">
        <v>3</v>
      </c>
      <c r="F1185" s="8">
        <v>0.34</v>
      </c>
      <c r="G1185" s="4">
        <v>27</v>
      </c>
      <c r="H1185" s="8">
        <v>1.92</v>
      </c>
      <c r="I1185" s="4">
        <v>0</v>
      </c>
    </row>
    <row r="1186" spans="1:9" x14ac:dyDescent="0.2">
      <c r="A1186" s="2">
        <v>17</v>
      </c>
      <c r="B1186" s="1" t="s">
        <v>153</v>
      </c>
      <c r="C1186" s="4">
        <v>30</v>
      </c>
      <c r="D1186" s="8">
        <v>1.31</v>
      </c>
      <c r="E1186" s="4">
        <v>7</v>
      </c>
      <c r="F1186" s="8">
        <v>0.79</v>
      </c>
      <c r="G1186" s="4">
        <v>23</v>
      </c>
      <c r="H1186" s="8">
        <v>1.63</v>
      </c>
      <c r="I1186" s="4">
        <v>0</v>
      </c>
    </row>
    <row r="1187" spans="1:9" x14ac:dyDescent="0.2">
      <c r="A1187" s="2">
        <v>17</v>
      </c>
      <c r="B1187" s="1" t="s">
        <v>196</v>
      </c>
      <c r="C1187" s="4">
        <v>30</v>
      </c>
      <c r="D1187" s="8">
        <v>1.31</v>
      </c>
      <c r="E1187" s="4">
        <v>16</v>
      </c>
      <c r="F1187" s="8">
        <v>1.82</v>
      </c>
      <c r="G1187" s="4">
        <v>14</v>
      </c>
      <c r="H1187" s="8">
        <v>0.99</v>
      </c>
      <c r="I1187" s="4">
        <v>0</v>
      </c>
    </row>
    <row r="1188" spans="1:9" x14ac:dyDescent="0.2">
      <c r="A1188" s="2">
        <v>20</v>
      </c>
      <c r="B1188" s="1" t="s">
        <v>154</v>
      </c>
      <c r="C1188" s="4">
        <v>29</v>
      </c>
      <c r="D1188" s="8">
        <v>1.26</v>
      </c>
      <c r="E1188" s="4">
        <v>3</v>
      </c>
      <c r="F1188" s="8">
        <v>0.34</v>
      </c>
      <c r="G1188" s="4">
        <v>26</v>
      </c>
      <c r="H1188" s="8">
        <v>1.85</v>
      </c>
      <c r="I1188" s="4">
        <v>0</v>
      </c>
    </row>
    <row r="1189" spans="1:9" x14ac:dyDescent="0.2">
      <c r="A1189" s="2">
        <v>20</v>
      </c>
      <c r="B1189" s="1" t="s">
        <v>155</v>
      </c>
      <c r="C1189" s="4">
        <v>29</v>
      </c>
      <c r="D1189" s="8">
        <v>1.26</v>
      </c>
      <c r="E1189" s="4">
        <v>18</v>
      </c>
      <c r="F1189" s="8">
        <v>2.04</v>
      </c>
      <c r="G1189" s="4">
        <v>11</v>
      </c>
      <c r="H1189" s="8">
        <v>0.78</v>
      </c>
      <c r="I1189" s="4">
        <v>0</v>
      </c>
    </row>
    <row r="1190" spans="1:9" x14ac:dyDescent="0.2">
      <c r="A1190" s="1"/>
      <c r="C1190" s="4"/>
      <c r="D1190" s="8"/>
      <c r="E1190" s="4"/>
      <c r="F1190" s="8"/>
      <c r="G1190" s="4"/>
      <c r="H1190" s="8"/>
      <c r="I1190" s="4"/>
    </row>
    <row r="1191" spans="1:9" x14ac:dyDescent="0.2">
      <c r="A1191" s="1" t="s">
        <v>53</v>
      </c>
      <c r="C1191" s="4"/>
      <c r="D1191" s="8"/>
      <c r="E1191" s="4"/>
      <c r="F1191" s="8"/>
      <c r="G1191" s="4"/>
      <c r="H1191" s="8"/>
      <c r="I1191" s="4"/>
    </row>
    <row r="1192" spans="1:9" x14ac:dyDescent="0.2">
      <c r="A1192" s="2">
        <v>1</v>
      </c>
      <c r="B1192" s="1" t="s">
        <v>160</v>
      </c>
      <c r="C1192" s="4">
        <v>65</v>
      </c>
      <c r="D1192" s="8">
        <v>4.75</v>
      </c>
      <c r="E1192" s="4">
        <v>25</v>
      </c>
      <c r="F1192" s="8">
        <v>3.52</v>
      </c>
      <c r="G1192" s="4">
        <v>40</v>
      </c>
      <c r="H1192" s="8">
        <v>6.19</v>
      </c>
      <c r="I1192" s="4">
        <v>0</v>
      </c>
    </row>
    <row r="1193" spans="1:9" x14ac:dyDescent="0.2">
      <c r="A1193" s="2">
        <v>2</v>
      </c>
      <c r="B1193" s="1" t="s">
        <v>169</v>
      </c>
      <c r="C1193" s="4">
        <v>64</v>
      </c>
      <c r="D1193" s="8">
        <v>4.68</v>
      </c>
      <c r="E1193" s="4">
        <v>52</v>
      </c>
      <c r="F1193" s="8">
        <v>7.31</v>
      </c>
      <c r="G1193" s="4">
        <v>12</v>
      </c>
      <c r="H1193" s="8">
        <v>1.86</v>
      </c>
      <c r="I1193" s="4">
        <v>0</v>
      </c>
    </row>
    <row r="1194" spans="1:9" x14ac:dyDescent="0.2">
      <c r="A1194" s="2">
        <v>3</v>
      </c>
      <c r="B1194" s="1" t="s">
        <v>171</v>
      </c>
      <c r="C1194" s="4">
        <v>45</v>
      </c>
      <c r="D1194" s="8">
        <v>3.29</v>
      </c>
      <c r="E1194" s="4">
        <v>37</v>
      </c>
      <c r="F1194" s="8">
        <v>5.2</v>
      </c>
      <c r="G1194" s="4">
        <v>8</v>
      </c>
      <c r="H1194" s="8">
        <v>1.24</v>
      </c>
      <c r="I1194" s="4">
        <v>0</v>
      </c>
    </row>
    <row r="1195" spans="1:9" x14ac:dyDescent="0.2">
      <c r="A1195" s="2">
        <v>4</v>
      </c>
      <c r="B1195" s="1" t="s">
        <v>168</v>
      </c>
      <c r="C1195" s="4">
        <v>36</v>
      </c>
      <c r="D1195" s="8">
        <v>2.63</v>
      </c>
      <c r="E1195" s="4">
        <v>34</v>
      </c>
      <c r="F1195" s="8">
        <v>4.78</v>
      </c>
      <c r="G1195" s="4">
        <v>2</v>
      </c>
      <c r="H1195" s="8">
        <v>0.31</v>
      </c>
      <c r="I1195" s="4">
        <v>0</v>
      </c>
    </row>
    <row r="1196" spans="1:9" x14ac:dyDescent="0.2">
      <c r="A1196" s="2">
        <v>5</v>
      </c>
      <c r="B1196" s="1" t="s">
        <v>157</v>
      </c>
      <c r="C1196" s="4">
        <v>35</v>
      </c>
      <c r="D1196" s="8">
        <v>2.56</v>
      </c>
      <c r="E1196" s="4">
        <v>27</v>
      </c>
      <c r="F1196" s="8">
        <v>3.8</v>
      </c>
      <c r="G1196" s="4">
        <v>8</v>
      </c>
      <c r="H1196" s="8">
        <v>1.24</v>
      </c>
      <c r="I1196" s="4">
        <v>0</v>
      </c>
    </row>
    <row r="1197" spans="1:9" x14ac:dyDescent="0.2">
      <c r="A1197" s="2">
        <v>6</v>
      </c>
      <c r="B1197" s="1" t="s">
        <v>161</v>
      </c>
      <c r="C1197" s="4">
        <v>33</v>
      </c>
      <c r="D1197" s="8">
        <v>2.41</v>
      </c>
      <c r="E1197" s="4">
        <v>29</v>
      </c>
      <c r="F1197" s="8">
        <v>4.08</v>
      </c>
      <c r="G1197" s="4">
        <v>4</v>
      </c>
      <c r="H1197" s="8">
        <v>0.62</v>
      </c>
      <c r="I1197" s="4">
        <v>0</v>
      </c>
    </row>
    <row r="1198" spans="1:9" x14ac:dyDescent="0.2">
      <c r="A1198" s="2">
        <v>7</v>
      </c>
      <c r="B1198" s="1" t="s">
        <v>167</v>
      </c>
      <c r="C1198" s="4">
        <v>31</v>
      </c>
      <c r="D1198" s="8">
        <v>2.27</v>
      </c>
      <c r="E1198" s="4">
        <v>27</v>
      </c>
      <c r="F1198" s="8">
        <v>3.8</v>
      </c>
      <c r="G1198" s="4">
        <v>4</v>
      </c>
      <c r="H1198" s="8">
        <v>0.62</v>
      </c>
      <c r="I1198" s="4">
        <v>0</v>
      </c>
    </row>
    <row r="1199" spans="1:9" x14ac:dyDescent="0.2">
      <c r="A1199" s="2">
        <v>8</v>
      </c>
      <c r="B1199" s="1" t="s">
        <v>159</v>
      </c>
      <c r="C1199" s="4">
        <v>30</v>
      </c>
      <c r="D1199" s="8">
        <v>2.19</v>
      </c>
      <c r="E1199" s="4">
        <v>3</v>
      </c>
      <c r="F1199" s="8">
        <v>0.42</v>
      </c>
      <c r="G1199" s="4">
        <v>27</v>
      </c>
      <c r="H1199" s="8">
        <v>4.18</v>
      </c>
      <c r="I1199" s="4">
        <v>0</v>
      </c>
    </row>
    <row r="1200" spans="1:9" x14ac:dyDescent="0.2">
      <c r="A1200" s="2">
        <v>9</v>
      </c>
      <c r="B1200" s="1" t="s">
        <v>190</v>
      </c>
      <c r="C1200" s="4">
        <v>28</v>
      </c>
      <c r="D1200" s="8">
        <v>2.0499999999999998</v>
      </c>
      <c r="E1200" s="4">
        <v>4</v>
      </c>
      <c r="F1200" s="8">
        <v>0.56000000000000005</v>
      </c>
      <c r="G1200" s="4">
        <v>24</v>
      </c>
      <c r="H1200" s="8">
        <v>3.72</v>
      </c>
      <c r="I1200" s="4">
        <v>0</v>
      </c>
    </row>
    <row r="1201" spans="1:9" x14ac:dyDescent="0.2">
      <c r="A1201" s="2">
        <v>10</v>
      </c>
      <c r="B1201" s="1" t="s">
        <v>152</v>
      </c>
      <c r="C1201" s="4">
        <v>26</v>
      </c>
      <c r="D1201" s="8">
        <v>1.9</v>
      </c>
      <c r="E1201" s="4">
        <v>7</v>
      </c>
      <c r="F1201" s="8">
        <v>0.98</v>
      </c>
      <c r="G1201" s="4">
        <v>19</v>
      </c>
      <c r="H1201" s="8">
        <v>2.94</v>
      </c>
      <c r="I1201" s="4">
        <v>0</v>
      </c>
    </row>
    <row r="1202" spans="1:9" x14ac:dyDescent="0.2">
      <c r="A1202" s="2">
        <v>10</v>
      </c>
      <c r="B1202" s="1" t="s">
        <v>162</v>
      </c>
      <c r="C1202" s="4">
        <v>26</v>
      </c>
      <c r="D1202" s="8">
        <v>1.9</v>
      </c>
      <c r="E1202" s="4">
        <v>4</v>
      </c>
      <c r="F1202" s="8">
        <v>0.56000000000000005</v>
      </c>
      <c r="G1202" s="4">
        <v>21</v>
      </c>
      <c r="H1202" s="8">
        <v>3.25</v>
      </c>
      <c r="I1202" s="4">
        <v>1</v>
      </c>
    </row>
    <row r="1203" spans="1:9" x14ac:dyDescent="0.2">
      <c r="A1203" s="2">
        <v>12</v>
      </c>
      <c r="B1203" s="1" t="s">
        <v>234</v>
      </c>
      <c r="C1203" s="4">
        <v>25</v>
      </c>
      <c r="D1203" s="8">
        <v>1.83</v>
      </c>
      <c r="E1203" s="4">
        <v>2</v>
      </c>
      <c r="F1203" s="8">
        <v>0.28000000000000003</v>
      </c>
      <c r="G1203" s="4">
        <v>23</v>
      </c>
      <c r="H1203" s="8">
        <v>3.56</v>
      </c>
      <c r="I1203" s="4">
        <v>0</v>
      </c>
    </row>
    <row r="1204" spans="1:9" x14ac:dyDescent="0.2">
      <c r="A1204" s="2">
        <v>12</v>
      </c>
      <c r="B1204" s="1" t="s">
        <v>170</v>
      </c>
      <c r="C1204" s="4">
        <v>25</v>
      </c>
      <c r="D1204" s="8">
        <v>1.83</v>
      </c>
      <c r="E1204" s="4">
        <v>21</v>
      </c>
      <c r="F1204" s="8">
        <v>2.95</v>
      </c>
      <c r="G1204" s="4">
        <v>4</v>
      </c>
      <c r="H1204" s="8">
        <v>0.62</v>
      </c>
      <c r="I1204" s="4">
        <v>0</v>
      </c>
    </row>
    <row r="1205" spans="1:9" x14ac:dyDescent="0.2">
      <c r="A1205" s="2">
        <v>14</v>
      </c>
      <c r="B1205" s="1" t="s">
        <v>165</v>
      </c>
      <c r="C1205" s="4">
        <v>24</v>
      </c>
      <c r="D1205" s="8">
        <v>1.76</v>
      </c>
      <c r="E1205" s="4">
        <v>22</v>
      </c>
      <c r="F1205" s="8">
        <v>3.09</v>
      </c>
      <c r="G1205" s="4">
        <v>2</v>
      </c>
      <c r="H1205" s="8">
        <v>0.31</v>
      </c>
      <c r="I1205" s="4">
        <v>0</v>
      </c>
    </row>
    <row r="1206" spans="1:9" x14ac:dyDescent="0.2">
      <c r="A1206" s="2">
        <v>15</v>
      </c>
      <c r="B1206" s="1" t="s">
        <v>156</v>
      </c>
      <c r="C1206" s="4">
        <v>23</v>
      </c>
      <c r="D1206" s="8">
        <v>1.68</v>
      </c>
      <c r="E1206" s="4">
        <v>16</v>
      </c>
      <c r="F1206" s="8">
        <v>2.25</v>
      </c>
      <c r="G1206" s="4">
        <v>6</v>
      </c>
      <c r="H1206" s="8">
        <v>0.93</v>
      </c>
      <c r="I1206" s="4">
        <v>1</v>
      </c>
    </row>
    <row r="1207" spans="1:9" x14ac:dyDescent="0.2">
      <c r="A1207" s="2">
        <v>15</v>
      </c>
      <c r="B1207" s="1" t="s">
        <v>215</v>
      </c>
      <c r="C1207" s="4">
        <v>23</v>
      </c>
      <c r="D1207" s="8">
        <v>1.68</v>
      </c>
      <c r="E1207" s="4">
        <v>17</v>
      </c>
      <c r="F1207" s="8">
        <v>2.39</v>
      </c>
      <c r="G1207" s="4">
        <v>6</v>
      </c>
      <c r="H1207" s="8">
        <v>0.93</v>
      </c>
      <c r="I1207" s="4">
        <v>0</v>
      </c>
    </row>
    <row r="1208" spans="1:9" x14ac:dyDescent="0.2">
      <c r="A1208" s="2">
        <v>17</v>
      </c>
      <c r="B1208" s="1" t="s">
        <v>153</v>
      </c>
      <c r="C1208" s="4">
        <v>21</v>
      </c>
      <c r="D1208" s="8">
        <v>1.54</v>
      </c>
      <c r="E1208" s="4">
        <v>5</v>
      </c>
      <c r="F1208" s="8">
        <v>0.7</v>
      </c>
      <c r="G1208" s="4">
        <v>16</v>
      </c>
      <c r="H1208" s="8">
        <v>2.48</v>
      </c>
      <c r="I1208" s="4">
        <v>0</v>
      </c>
    </row>
    <row r="1209" spans="1:9" x14ac:dyDescent="0.2">
      <c r="A1209" s="2">
        <v>17</v>
      </c>
      <c r="B1209" s="1" t="s">
        <v>164</v>
      </c>
      <c r="C1209" s="4">
        <v>21</v>
      </c>
      <c r="D1209" s="8">
        <v>1.54</v>
      </c>
      <c r="E1209" s="4">
        <v>16</v>
      </c>
      <c r="F1209" s="8">
        <v>2.25</v>
      </c>
      <c r="G1209" s="4">
        <v>5</v>
      </c>
      <c r="H1209" s="8">
        <v>0.77</v>
      </c>
      <c r="I1209" s="4">
        <v>0</v>
      </c>
    </row>
    <row r="1210" spans="1:9" x14ac:dyDescent="0.2">
      <c r="A1210" s="2">
        <v>19</v>
      </c>
      <c r="B1210" s="1" t="s">
        <v>209</v>
      </c>
      <c r="C1210" s="4">
        <v>20</v>
      </c>
      <c r="D1210" s="8">
        <v>1.46</v>
      </c>
      <c r="E1210" s="4">
        <v>0</v>
      </c>
      <c r="F1210" s="8">
        <v>0</v>
      </c>
      <c r="G1210" s="4">
        <v>20</v>
      </c>
      <c r="H1210" s="8">
        <v>3.1</v>
      </c>
      <c r="I1210" s="4">
        <v>0</v>
      </c>
    </row>
    <row r="1211" spans="1:9" x14ac:dyDescent="0.2">
      <c r="A1211" s="2">
        <v>20</v>
      </c>
      <c r="B1211" s="1" t="s">
        <v>155</v>
      </c>
      <c r="C1211" s="4">
        <v>18</v>
      </c>
      <c r="D1211" s="8">
        <v>1.32</v>
      </c>
      <c r="E1211" s="4">
        <v>15</v>
      </c>
      <c r="F1211" s="8">
        <v>2.11</v>
      </c>
      <c r="G1211" s="4">
        <v>3</v>
      </c>
      <c r="H1211" s="8">
        <v>0.46</v>
      </c>
      <c r="I1211" s="4">
        <v>0</v>
      </c>
    </row>
    <row r="1212" spans="1:9" x14ac:dyDescent="0.2">
      <c r="A1212" s="1"/>
      <c r="C1212" s="4"/>
      <c r="D1212" s="8"/>
      <c r="E1212" s="4"/>
      <c r="F1212" s="8"/>
      <c r="G1212" s="4"/>
      <c r="H1212" s="8"/>
      <c r="I1212" s="4"/>
    </row>
    <row r="1213" spans="1:9" x14ac:dyDescent="0.2">
      <c r="A1213" s="1" t="s">
        <v>54</v>
      </c>
      <c r="C1213" s="4"/>
      <c r="D1213" s="8"/>
      <c r="E1213" s="4"/>
      <c r="F1213" s="8"/>
      <c r="G1213" s="4"/>
      <c r="H1213" s="8"/>
      <c r="I1213" s="4"/>
    </row>
    <row r="1214" spans="1:9" x14ac:dyDescent="0.2">
      <c r="A1214" s="2">
        <v>1</v>
      </c>
      <c r="B1214" s="1" t="s">
        <v>160</v>
      </c>
      <c r="C1214" s="4">
        <v>101</v>
      </c>
      <c r="D1214" s="8">
        <v>4.62</v>
      </c>
      <c r="E1214" s="4">
        <v>45</v>
      </c>
      <c r="F1214" s="8">
        <v>4.0199999999999996</v>
      </c>
      <c r="G1214" s="4">
        <v>56</v>
      </c>
      <c r="H1214" s="8">
        <v>5.36</v>
      </c>
      <c r="I1214" s="4">
        <v>0</v>
      </c>
    </row>
    <row r="1215" spans="1:9" x14ac:dyDescent="0.2">
      <c r="A1215" s="2">
        <v>2</v>
      </c>
      <c r="B1215" s="1" t="s">
        <v>169</v>
      </c>
      <c r="C1215" s="4">
        <v>84</v>
      </c>
      <c r="D1215" s="8">
        <v>3.84</v>
      </c>
      <c r="E1215" s="4">
        <v>74</v>
      </c>
      <c r="F1215" s="8">
        <v>6.61</v>
      </c>
      <c r="G1215" s="4">
        <v>10</v>
      </c>
      <c r="H1215" s="8">
        <v>0.96</v>
      </c>
      <c r="I1215" s="4">
        <v>0</v>
      </c>
    </row>
    <row r="1216" spans="1:9" x14ac:dyDescent="0.2">
      <c r="A1216" s="2">
        <v>3</v>
      </c>
      <c r="B1216" s="1" t="s">
        <v>161</v>
      </c>
      <c r="C1216" s="4">
        <v>71</v>
      </c>
      <c r="D1216" s="8">
        <v>3.25</v>
      </c>
      <c r="E1216" s="4">
        <v>58</v>
      </c>
      <c r="F1216" s="8">
        <v>5.18</v>
      </c>
      <c r="G1216" s="4">
        <v>13</v>
      </c>
      <c r="H1216" s="8">
        <v>1.24</v>
      </c>
      <c r="I1216" s="4">
        <v>0</v>
      </c>
    </row>
    <row r="1217" spans="1:9" x14ac:dyDescent="0.2">
      <c r="A1217" s="2">
        <v>4</v>
      </c>
      <c r="B1217" s="1" t="s">
        <v>171</v>
      </c>
      <c r="C1217" s="4">
        <v>65</v>
      </c>
      <c r="D1217" s="8">
        <v>2.97</v>
      </c>
      <c r="E1217" s="4">
        <v>60</v>
      </c>
      <c r="F1217" s="8">
        <v>5.36</v>
      </c>
      <c r="G1217" s="4">
        <v>5</v>
      </c>
      <c r="H1217" s="8">
        <v>0.48</v>
      </c>
      <c r="I1217" s="4">
        <v>0</v>
      </c>
    </row>
    <row r="1218" spans="1:9" x14ac:dyDescent="0.2">
      <c r="A1218" s="2">
        <v>5</v>
      </c>
      <c r="B1218" s="1" t="s">
        <v>159</v>
      </c>
      <c r="C1218" s="4">
        <v>61</v>
      </c>
      <c r="D1218" s="8">
        <v>2.79</v>
      </c>
      <c r="E1218" s="4">
        <v>7</v>
      </c>
      <c r="F1218" s="8">
        <v>0.63</v>
      </c>
      <c r="G1218" s="4">
        <v>54</v>
      </c>
      <c r="H1218" s="8">
        <v>5.17</v>
      </c>
      <c r="I1218" s="4">
        <v>0</v>
      </c>
    </row>
    <row r="1219" spans="1:9" x14ac:dyDescent="0.2">
      <c r="A1219" s="2">
        <v>5</v>
      </c>
      <c r="B1219" s="1" t="s">
        <v>167</v>
      </c>
      <c r="C1219" s="4">
        <v>61</v>
      </c>
      <c r="D1219" s="8">
        <v>2.79</v>
      </c>
      <c r="E1219" s="4">
        <v>55</v>
      </c>
      <c r="F1219" s="8">
        <v>4.92</v>
      </c>
      <c r="G1219" s="4">
        <v>6</v>
      </c>
      <c r="H1219" s="8">
        <v>0.56999999999999995</v>
      </c>
      <c r="I1219" s="4">
        <v>0</v>
      </c>
    </row>
    <row r="1220" spans="1:9" x14ac:dyDescent="0.2">
      <c r="A1220" s="2">
        <v>7</v>
      </c>
      <c r="B1220" s="1" t="s">
        <v>170</v>
      </c>
      <c r="C1220" s="4">
        <v>54</v>
      </c>
      <c r="D1220" s="8">
        <v>2.4700000000000002</v>
      </c>
      <c r="E1220" s="4">
        <v>47</v>
      </c>
      <c r="F1220" s="8">
        <v>4.2</v>
      </c>
      <c r="G1220" s="4">
        <v>7</v>
      </c>
      <c r="H1220" s="8">
        <v>0.67</v>
      </c>
      <c r="I1220" s="4">
        <v>0</v>
      </c>
    </row>
    <row r="1221" spans="1:9" x14ac:dyDescent="0.2">
      <c r="A1221" s="2">
        <v>8</v>
      </c>
      <c r="B1221" s="1" t="s">
        <v>152</v>
      </c>
      <c r="C1221" s="4">
        <v>50</v>
      </c>
      <c r="D1221" s="8">
        <v>2.29</v>
      </c>
      <c r="E1221" s="4">
        <v>13</v>
      </c>
      <c r="F1221" s="8">
        <v>1.1599999999999999</v>
      </c>
      <c r="G1221" s="4">
        <v>37</v>
      </c>
      <c r="H1221" s="8">
        <v>3.54</v>
      </c>
      <c r="I1221" s="4">
        <v>0</v>
      </c>
    </row>
    <row r="1222" spans="1:9" x14ac:dyDescent="0.2">
      <c r="A1222" s="2">
        <v>9</v>
      </c>
      <c r="B1222" s="1" t="s">
        <v>168</v>
      </c>
      <c r="C1222" s="4">
        <v>48</v>
      </c>
      <c r="D1222" s="8">
        <v>2.19</v>
      </c>
      <c r="E1222" s="4">
        <v>47</v>
      </c>
      <c r="F1222" s="8">
        <v>4.2</v>
      </c>
      <c r="G1222" s="4">
        <v>1</v>
      </c>
      <c r="H1222" s="8">
        <v>0.1</v>
      </c>
      <c r="I1222" s="4">
        <v>0</v>
      </c>
    </row>
    <row r="1223" spans="1:9" x14ac:dyDescent="0.2">
      <c r="A1223" s="2">
        <v>10</v>
      </c>
      <c r="B1223" s="1" t="s">
        <v>190</v>
      </c>
      <c r="C1223" s="4">
        <v>43</v>
      </c>
      <c r="D1223" s="8">
        <v>1.97</v>
      </c>
      <c r="E1223" s="4">
        <v>10</v>
      </c>
      <c r="F1223" s="8">
        <v>0.89</v>
      </c>
      <c r="G1223" s="4">
        <v>33</v>
      </c>
      <c r="H1223" s="8">
        <v>3.16</v>
      </c>
      <c r="I1223" s="4">
        <v>0</v>
      </c>
    </row>
    <row r="1224" spans="1:9" x14ac:dyDescent="0.2">
      <c r="A1224" s="2">
        <v>11</v>
      </c>
      <c r="B1224" s="1" t="s">
        <v>157</v>
      </c>
      <c r="C1224" s="4">
        <v>42</v>
      </c>
      <c r="D1224" s="8">
        <v>1.92</v>
      </c>
      <c r="E1224" s="4">
        <v>36</v>
      </c>
      <c r="F1224" s="8">
        <v>3.22</v>
      </c>
      <c r="G1224" s="4">
        <v>6</v>
      </c>
      <c r="H1224" s="8">
        <v>0.56999999999999995</v>
      </c>
      <c r="I1224" s="4">
        <v>0</v>
      </c>
    </row>
    <row r="1225" spans="1:9" x14ac:dyDescent="0.2">
      <c r="A1225" s="2">
        <v>12</v>
      </c>
      <c r="B1225" s="1" t="s">
        <v>165</v>
      </c>
      <c r="C1225" s="4">
        <v>35</v>
      </c>
      <c r="D1225" s="8">
        <v>1.6</v>
      </c>
      <c r="E1225" s="4">
        <v>34</v>
      </c>
      <c r="F1225" s="8">
        <v>3.04</v>
      </c>
      <c r="G1225" s="4">
        <v>1</v>
      </c>
      <c r="H1225" s="8">
        <v>0.1</v>
      </c>
      <c r="I1225" s="4">
        <v>0</v>
      </c>
    </row>
    <row r="1226" spans="1:9" x14ac:dyDescent="0.2">
      <c r="A1226" s="2">
        <v>13</v>
      </c>
      <c r="B1226" s="1" t="s">
        <v>192</v>
      </c>
      <c r="C1226" s="4">
        <v>34</v>
      </c>
      <c r="D1226" s="8">
        <v>1.55</v>
      </c>
      <c r="E1226" s="4">
        <v>8</v>
      </c>
      <c r="F1226" s="8">
        <v>0.71</v>
      </c>
      <c r="G1226" s="4">
        <v>26</v>
      </c>
      <c r="H1226" s="8">
        <v>2.4900000000000002</v>
      </c>
      <c r="I1226" s="4">
        <v>0</v>
      </c>
    </row>
    <row r="1227" spans="1:9" x14ac:dyDescent="0.2">
      <c r="A1227" s="2">
        <v>14</v>
      </c>
      <c r="B1227" s="1" t="s">
        <v>153</v>
      </c>
      <c r="C1227" s="4">
        <v>32</v>
      </c>
      <c r="D1227" s="8">
        <v>1.46</v>
      </c>
      <c r="E1227" s="4">
        <v>9</v>
      </c>
      <c r="F1227" s="8">
        <v>0.8</v>
      </c>
      <c r="G1227" s="4">
        <v>23</v>
      </c>
      <c r="H1227" s="8">
        <v>2.2000000000000002</v>
      </c>
      <c r="I1227" s="4">
        <v>0</v>
      </c>
    </row>
    <row r="1228" spans="1:9" x14ac:dyDescent="0.2">
      <c r="A1228" s="2">
        <v>14</v>
      </c>
      <c r="B1228" s="1" t="s">
        <v>215</v>
      </c>
      <c r="C1228" s="4">
        <v>32</v>
      </c>
      <c r="D1228" s="8">
        <v>1.46</v>
      </c>
      <c r="E1228" s="4">
        <v>21</v>
      </c>
      <c r="F1228" s="8">
        <v>1.88</v>
      </c>
      <c r="G1228" s="4">
        <v>11</v>
      </c>
      <c r="H1228" s="8">
        <v>1.05</v>
      </c>
      <c r="I1228" s="4">
        <v>0</v>
      </c>
    </row>
    <row r="1229" spans="1:9" x14ac:dyDescent="0.2">
      <c r="A1229" s="2">
        <v>16</v>
      </c>
      <c r="B1229" s="1" t="s">
        <v>158</v>
      </c>
      <c r="C1229" s="4">
        <v>31</v>
      </c>
      <c r="D1229" s="8">
        <v>1.42</v>
      </c>
      <c r="E1229" s="4">
        <v>8</v>
      </c>
      <c r="F1229" s="8">
        <v>0.71</v>
      </c>
      <c r="G1229" s="4">
        <v>23</v>
      </c>
      <c r="H1229" s="8">
        <v>2.2000000000000002</v>
      </c>
      <c r="I1229" s="4">
        <v>0</v>
      </c>
    </row>
    <row r="1230" spans="1:9" x14ac:dyDescent="0.2">
      <c r="A1230" s="2">
        <v>17</v>
      </c>
      <c r="B1230" s="1" t="s">
        <v>156</v>
      </c>
      <c r="C1230" s="4">
        <v>29</v>
      </c>
      <c r="D1230" s="8">
        <v>1.33</v>
      </c>
      <c r="E1230" s="4">
        <v>23</v>
      </c>
      <c r="F1230" s="8">
        <v>2.06</v>
      </c>
      <c r="G1230" s="4">
        <v>6</v>
      </c>
      <c r="H1230" s="8">
        <v>0.56999999999999995</v>
      </c>
      <c r="I1230" s="4">
        <v>0</v>
      </c>
    </row>
    <row r="1231" spans="1:9" x14ac:dyDescent="0.2">
      <c r="A1231" s="2">
        <v>17</v>
      </c>
      <c r="B1231" s="1" t="s">
        <v>198</v>
      </c>
      <c r="C1231" s="4">
        <v>29</v>
      </c>
      <c r="D1231" s="8">
        <v>1.33</v>
      </c>
      <c r="E1231" s="4">
        <v>22</v>
      </c>
      <c r="F1231" s="8">
        <v>1.97</v>
      </c>
      <c r="G1231" s="4">
        <v>7</v>
      </c>
      <c r="H1231" s="8">
        <v>0.67</v>
      </c>
      <c r="I1231" s="4">
        <v>0</v>
      </c>
    </row>
    <row r="1232" spans="1:9" x14ac:dyDescent="0.2">
      <c r="A1232" s="2">
        <v>19</v>
      </c>
      <c r="B1232" s="1" t="s">
        <v>174</v>
      </c>
      <c r="C1232" s="4">
        <v>28</v>
      </c>
      <c r="D1232" s="8">
        <v>1.28</v>
      </c>
      <c r="E1232" s="4">
        <v>11</v>
      </c>
      <c r="F1232" s="8">
        <v>0.98</v>
      </c>
      <c r="G1232" s="4">
        <v>17</v>
      </c>
      <c r="H1232" s="8">
        <v>1.63</v>
      </c>
      <c r="I1232" s="4">
        <v>0</v>
      </c>
    </row>
    <row r="1233" spans="1:9" x14ac:dyDescent="0.2">
      <c r="A1233" s="2">
        <v>20</v>
      </c>
      <c r="B1233" s="1" t="s">
        <v>210</v>
      </c>
      <c r="C1233" s="4">
        <v>26</v>
      </c>
      <c r="D1233" s="8">
        <v>1.19</v>
      </c>
      <c r="E1233" s="4">
        <v>8</v>
      </c>
      <c r="F1233" s="8">
        <v>0.71</v>
      </c>
      <c r="G1233" s="4">
        <v>18</v>
      </c>
      <c r="H1233" s="8">
        <v>1.72</v>
      </c>
      <c r="I1233" s="4">
        <v>0</v>
      </c>
    </row>
    <row r="1234" spans="1:9" x14ac:dyDescent="0.2">
      <c r="A1234" s="2">
        <v>20</v>
      </c>
      <c r="B1234" s="1" t="s">
        <v>199</v>
      </c>
      <c r="C1234" s="4">
        <v>26</v>
      </c>
      <c r="D1234" s="8">
        <v>1.19</v>
      </c>
      <c r="E1234" s="4">
        <v>23</v>
      </c>
      <c r="F1234" s="8">
        <v>2.06</v>
      </c>
      <c r="G1234" s="4">
        <v>3</v>
      </c>
      <c r="H1234" s="8">
        <v>0.28999999999999998</v>
      </c>
      <c r="I1234" s="4">
        <v>0</v>
      </c>
    </row>
    <row r="1235" spans="1:9" x14ac:dyDescent="0.2">
      <c r="A1235" s="1"/>
      <c r="C1235" s="4"/>
      <c r="D1235" s="8"/>
      <c r="E1235" s="4"/>
      <c r="F1235" s="8"/>
      <c r="G1235" s="4"/>
      <c r="H1235" s="8"/>
      <c r="I1235" s="4"/>
    </row>
    <row r="1236" spans="1:9" x14ac:dyDescent="0.2">
      <c r="A1236" s="1" t="s">
        <v>55</v>
      </c>
      <c r="C1236" s="4"/>
      <c r="D1236" s="8"/>
      <c r="E1236" s="4"/>
      <c r="F1236" s="8"/>
      <c r="G1236" s="4"/>
      <c r="H1236" s="8"/>
      <c r="I1236" s="4"/>
    </row>
    <row r="1237" spans="1:9" x14ac:dyDescent="0.2">
      <c r="A1237" s="2">
        <v>1</v>
      </c>
      <c r="B1237" s="1" t="s">
        <v>165</v>
      </c>
      <c r="C1237" s="4">
        <v>141</v>
      </c>
      <c r="D1237" s="8">
        <v>4.63</v>
      </c>
      <c r="E1237" s="4">
        <v>136</v>
      </c>
      <c r="F1237" s="8">
        <v>8.81</v>
      </c>
      <c r="G1237" s="4">
        <v>5</v>
      </c>
      <c r="H1237" s="8">
        <v>0.33</v>
      </c>
      <c r="I1237" s="4">
        <v>0</v>
      </c>
    </row>
    <row r="1238" spans="1:9" x14ac:dyDescent="0.2">
      <c r="A1238" s="2">
        <v>2</v>
      </c>
      <c r="B1238" s="1" t="s">
        <v>160</v>
      </c>
      <c r="C1238" s="4">
        <v>136</v>
      </c>
      <c r="D1238" s="8">
        <v>4.47</v>
      </c>
      <c r="E1238" s="4">
        <v>20</v>
      </c>
      <c r="F1238" s="8">
        <v>1.3</v>
      </c>
      <c r="G1238" s="4">
        <v>116</v>
      </c>
      <c r="H1238" s="8">
        <v>7.74</v>
      </c>
      <c r="I1238" s="4">
        <v>0</v>
      </c>
    </row>
    <row r="1239" spans="1:9" x14ac:dyDescent="0.2">
      <c r="A1239" s="2">
        <v>3</v>
      </c>
      <c r="B1239" s="1" t="s">
        <v>169</v>
      </c>
      <c r="C1239" s="4">
        <v>132</v>
      </c>
      <c r="D1239" s="8">
        <v>4.33</v>
      </c>
      <c r="E1239" s="4">
        <v>122</v>
      </c>
      <c r="F1239" s="8">
        <v>7.91</v>
      </c>
      <c r="G1239" s="4">
        <v>10</v>
      </c>
      <c r="H1239" s="8">
        <v>0.67</v>
      </c>
      <c r="I1239" s="4">
        <v>0</v>
      </c>
    </row>
    <row r="1240" spans="1:9" x14ac:dyDescent="0.2">
      <c r="A1240" s="2">
        <v>4</v>
      </c>
      <c r="B1240" s="1" t="s">
        <v>167</v>
      </c>
      <c r="C1240" s="4">
        <v>121</v>
      </c>
      <c r="D1240" s="8">
        <v>3.97</v>
      </c>
      <c r="E1240" s="4">
        <v>116</v>
      </c>
      <c r="F1240" s="8">
        <v>7.52</v>
      </c>
      <c r="G1240" s="4">
        <v>5</v>
      </c>
      <c r="H1240" s="8">
        <v>0.33</v>
      </c>
      <c r="I1240" s="4">
        <v>0</v>
      </c>
    </row>
    <row r="1241" spans="1:9" x14ac:dyDescent="0.2">
      <c r="A1241" s="2">
        <v>5</v>
      </c>
      <c r="B1241" s="1" t="s">
        <v>159</v>
      </c>
      <c r="C1241" s="4">
        <v>98</v>
      </c>
      <c r="D1241" s="8">
        <v>3.22</v>
      </c>
      <c r="E1241" s="4">
        <v>3</v>
      </c>
      <c r="F1241" s="8">
        <v>0.19</v>
      </c>
      <c r="G1241" s="4">
        <v>95</v>
      </c>
      <c r="H1241" s="8">
        <v>6.34</v>
      </c>
      <c r="I1241" s="4">
        <v>0</v>
      </c>
    </row>
    <row r="1242" spans="1:9" x14ac:dyDescent="0.2">
      <c r="A1242" s="2">
        <v>6</v>
      </c>
      <c r="B1242" s="1" t="s">
        <v>171</v>
      </c>
      <c r="C1242" s="4">
        <v>88</v>
      </c>
      <c r="D1242" s="8">
        <v>2.89</v>
      </c>
      <c r="E1242" s="4">
        <v>77</v>
      </c>
      <c r="F1242" s="8">
        <v>4.99</v>
      </c>
      <c r="G1242" s="4">
        <v>11</v>
      </c>
      <c r="H1242" s="8">
        <v>0.73</v>
      </c>
      <c r="I1242" s="4">
        <v>0</v>
      </c>
    </row>
    <row r="1243" spans="1:9" x14ac:dyDescent="0.2">
      <c r="A1243" s="2">
        <v>7</v>
      </c>
      <c r="B1243" s="1" t="s">
        <v>168</v>
      </c>
      <c r="C1243" s="4">
        <v>84</v>
      </c>
      <c r="D1243" s="8">
        <v>2.76</v>
      </c>
      <c r="E1243" s="4">
        <v>83</v>
      </c>
      <c r="F1243" s="8">
        <v>5.38</v>
      </c>
      <c r="G1243" s="4">
        <v>1</v>
      </c>
      <c r="H1243" s="8">
        <v>7.0000000000000007E-2</v>
      </c>
      <c r="I1243" s="4">
        <v>0</v>
      </c>
    </row>
    <row r="1244" spans="1:9" x14ac:dyDescent="0.2">
      <c r="A1244" s="2">
        <v>8</v>
      </c>
      <c r="B1244" s="1" t="s">
        <v>164</v>
      </c>
      <c r="C1244" s="4">
        <v>72</v>
      </c>
      <c r="D1244" s="8">
        <v>2.36</v>
      </c>
      <c r="E1244" s="4">
        <v>65</v>
      </c>
      <c r="F1244" s="8">
        <v>4.21</v>
      </c>
      <c r="G1244" s="4">
        <v>7</v>
      </c>
      <c r="H1244" s="8">
        <v>0.47</v>
      </c>
      <c r="I1244" s="4">
        <v>0</v>
      </c>
    </row>
    <row r="1245" spans="1:9" x14ac:dyDescent="0.2">
      <c r="A1245" s="2">
        <v>9</v>
      </c>
      <c r="B1245" s="1" t="s">
        <v>157</v>
      </c>
      <c r="C1245" s="4">
        <v>64</v>
      </c>
      <c r="D1245" s="8">
        <v>2.1</v>
      </c>
      <c r="E1245" s="4">
        <v>51</v>
      </c>
      <c r="F1245" s="8">
        <v>3.31</v>
      </c>
      <c r="G1245" s="4">
        <v>13</v>
      </c>
      <c r="H1245" s="8">
        <v>0.87</v>
      </c>
      <c r="I1245" s="4">
        <v>0</v>
      </c>
    </row>
    <row r="1246" spans="1:9" x14ac:dyDescent="0.2">
      <c r="A1246" s="2">
        <v>10</v>
      </c>
      <c r="B1246" s="1" t="s">
        <v>162</v>
      </c>
      <c r="C1246" s="4">
        <v>58</v>
      </c>
      <c r="D1246" s="8">
        <v>1.9</v>
      </c>
      <c r="E1246" s="4">
        <v>4</v>
      </c>
      <c r="F1246" s="8">
        <v>0.26</v>
      </c>
      <c r="G1246" s="4">
        <v>54</v>
      </c>
      <c r="H1246" s="8">
        <v>3.6</v>
      </c>
      <c r="I1246" s="4">
        <v>0</v>
      </c>
    </row>
    <row r="1247" spans="1:9" x14ac:dyDescent="0.2">
      <c r="A1247" s="2">
        <v>11</v>
      </c>
      <c r="B1247" s="1" t="s">
        <v>153</v>
      </c>
      <c r="C1247" s="4">
        <v>57</v>
      </c>
      <c r="D1247" s="8">
        <v>1.87</v>
      </c>
      <c r="E1247" s="4">
        <v>11</v>
      </c>
      <c r="F1247" s="8">
        <v>0.71</v>
      </c>
      <c r="G1247" s="4">
        <v>46</v>
      </c>
      <c r="H1247" s="8">
        <v>3.07</v>
      </c>
      <c r="I1247" s="4">
        <v>0</v>
      </c>
    </row>
    <row r="1248" spans="1:9" x14ac:dyDescent="0.2">
      <c r="A1248" s="2">
        <v>12</v>
      </c>
      <c r="B1248" s="1" t="s">
        <v>166</v>
      </c>
      <c r="C1248" s="4">
        <v>53</v>
      </c>
      <c r="D1248" s="8">
        <v>1.74</v>
      </c>
      <c r="E1248" s="4">
        <v>53</v>
      </c>
      <c r="F1248" s="8">
        <v>3.43</v>
      </c>
      <c r="G1248" s="4">
        <v>0</v>
      </c>
      <c r="H1248" s="8">
        <v>0</v>
      </c>
      <c r="I1248" s="4">
        <v>0</v>
      </c>
    </row>
    <row r="1249" spans="1:9" x14ac:dyDescent="0.2">
      <c r="A1249" s="2">
        <v>13</v>
      </c>
      <c r="B1249" s="1" t="s">
        <v>192</v>
      </c>
      <c r="C1249" s="4">
        <v>50</v>
      </c>
      <c r="D1249" s="8">
        <v>1.64</v>
      </c>
      <c r="E1249" s="4">
        <v>22</v>
      </c>
      <c r="F1249" s="8">
        <v>1.43</v>
      </c>
      <c r="G1249" s="4">
        <v>28</v>
      </c>
      <c r="H1249" s="8">
        <v>1.87</v>
      </c>
      <c r="I1249" s="4">
        <v>0</v>
      </c>
    </row>
    <row r="1250" spans="1:9" x14ac:dyDescent="0.2">
      <c r="A1250" s="2">
        <v>13</v>
      </c>
      <c r="B1250" s="1" t="s">
        <v>198</v>
      </c>
      <c r="C1250" s="4">
        <v>50</v>
      </c>
      <c r="D1250" s="8">
        <v>1.64</v>
      </c>
      <c r="E1250" s="4">
        <v>35</v>
      </c>
      <c r="F1250" s="8">
        <v>2.27</v>
      </c>
      <c r="G1250" s="4">
        <v>15</v>
      </c>
      <c r="H1250" s="8">
        <v>1</v>
      </c>
      <c r="I1250" s="4">
        <v>0</v>
      </c>
    </row>
    <row r="1251" spans="1:9" x14ac:dyDescent="0.2">
      <c r="A1251" s="2">
        <v>15</v>
      </c>
      <c r="B1251" s="1" t="s">
        <v>215</v>
      </c>
      <c r="C1251" s="4">
        <v>45</v>
      </c>
      <c r="D1251" s="8">
        <v>1.48</v>
      </c>
      <c r="E1251" s="4">
        <v>32</v>
      </c>
      <c r="F1251" s="8">
        <v>2.0699999999999998</v>
      </c>
      <c r="G1251" s="4">
        <v>13</v>
      </c>
      <c r="H1251" s="8">
        <v>0.87</v>
      </c>
      <c r="I1251" s="4">
        <v>0</v>
      </c>
    </row>
    <row r="1252" spans="1:9" x14ac:dyDescent="0.2">
      <c r="A1252" s="2">
        <v>15</v>
      </c>
      <c r="B1252" s="1" t="s">
        <v>158</v>
      </c>
      <c r="C1252" s="4">
        <v>45</v>
      </c>
      <c r="D1252" s="8">
        <v>1.48</v>
      </c>
      <c r="E1252" s="4">
        <v>16</v>
      </c>
      <c r="F1252" s="8">
        <v>1.04</v>
      </c>
      <c r="G1252" s="4">
        <v>29</v>
      </c>
      <c r="H1252" s="8">
        <v>1.94</v>
      </c>
      <c r="I1252" s="4">
        <v>0</v>
      </c>
    </row>
    <row r="1253" spans="1:9" x14ac:dyDescent="0.2">
      <c r="A1253" s="2">
        <v>17</v>
      </c>
      <c r="B1253" s="1" t="s">
        <v>174</v>
      </c>
      <c r="C1253" s="4">
        <v>41</v>
      </c>
      <c r="D1253" s="8">
        <v>1.35</v>
      </c>
      <c r="E1253" s="4">
        <v>10</v>
      </c>
      <c r="F1253" s="8">
        <v>0.65</v>
      </c>
      <c r="G1253" s="4">
        <v>31</v>
      </c>
      <c r="H1253" s="8">
        <v>2.0699999999999998</v>
      </c>
      <c r="I1253" s="4">
        <v>0</v>
      </c>
    </row>
    <row r="1254" spans="1:9" x14ac:dyDescent="0.2">
      <c r="A1254" s="2">
        <v>18</v>
      </c>
      <c r="B1254" s="1" t="s">
        <v>156</v>
      </c>
      <c r="C1254" s="4">
        <v>39</v>
      </c>
      <c r="D1254" s="8">
        <v>1.28</v>
      </c>
      <c r="E1254" s="4">
        <v>30</v>
      </c>
      <c r="F1254" s="8">
        <v>1.94</v>
      </c>
      <c r="G1254" s="4">
        <v>9</v>
      </c>
      <c r="H1254" s="8">
        <v>0.6</v>
      </c>
      <c r="I1254" s="4">
        <v>0</v>
      </c>
    </row>
    <row r="1255" spans="1:9" x14ac:dyDescent="0.2">
      <c r="A1255" s="2">
        <v>19</v>
      </c>
      <c r="B1255" s="1" t="s">
        <v>183</v>
      </c>
      <c r="C1255" s="4">
        <v>37</v>
      </c>
      <c r="D1255" s="8">
        <v>1.22</v>
      </c>
      <c r="E1255" s="4">
        <v>36</v>
      </c>
      <c r="F1255" s="8">
        <v>2.33</v>
      </c>
      <c r="G1255" s="4">
        <v>1</v>
      </c>
      <c r="H1255" s="8">
        <v>7.0000000000000007E-2</v>
      </c>
      <c r="I1255" s="4">
        <v>0</v>
      </c>
    </row>
    <row r="1256" spans="1:9" x14ac:dyDescent="0.2">
      <c r="A1256" s="2">
        <v>20</v>
      </c>
      <c r="B1256" s="1" t="s">
        <v>152</v>
      </c>
      <c r="C1256" s="4">
        <v>35</v>
      </c>
      <c r="D1256" s="8">
        <v>1.1499999999999999</v>
      </c>
      <c r="E1256" s="4">
        <v>5</v>
      </c>
      <c r="F1256" s="8">
        <v>0.32</v>
      </c>
      <c r="G1256" s="4">
        <v>30</v>
      </c>
      <c r="H1256" s="8">
        <v>2</v>
      </c>
      <c r="I1256" s="4">
        <v>0</v>
      </c>
    </row>
    <row r="1257" spans="1:9" x14ac:dyDescent="0.2">
      <c r="A1257" s="2">
        <v>20</v>
      </c>
      <c r="B1257" s="1" t="s">
        <v>170</v>
      </c>
      <c r="C1257" s="4">
        <v>35</v>
      </c>
      <c r="D1257" s="8">
        <v>1.1499999999999999</v>
      </c>
      <c r="E1257" s="4">
        <v>29</v>
      </c>
      <c r="F1257" s="8">
        <v>1.88</v>
      </c>
      <c r="G1257" s="4">
        <v>6</v>
      </c>
      <c r="H1257" s="8">
        <v>0.4</v>
      </c>
      <c r="I1257" s="4">
        <v>0</v>
      </c>
    </row>
    <row r="1258" spans="1:9" x14ac:dyDescent="0.2">
      <c r="A1258" s="1"/>
      <c r="C1258" s="4"/>
      <c r="D1258" s="8"/>
      <c r="E1258" s="4"/>
      <c r="F1258" s="8"/>
      <c r="G1258" s="4"/>
      <c r="H1258" s="8"/>
      <c r="I1258" s="4"/>
    </row>
    <row r="1259" spans="1:9" x14ac:dyDescent="0.2">
      <c r="A1259" s="1" t="s">
        <v>56</v>
      </c>
      <c r="C1259" s="4"/>
      <c r="D1259" s="8"/>
      <c r="E1259" s="4"/>
      <c r="F1259" s="8"/>
      <c r="G1259" s="4"/>
      <c r="H1259" s="8"/>
      <c r="I1259" s="4"/>
    </row>
    <row r="1260" spans="1:9" x14ac:dyDescent="0.2">
      <c r="A1260" s="2">
        <v>1</v>
      </c>
      <c r="B1260" s="1" t="s">
        <v>159</v>
      </c>
      <c r="C1260" s="4">
        <v>145</v>
      </c>
      <c r="D1260" s="8">
        <v>6.47</v>
      </c>
      <c r="E1260" s="4">
        <v>3</v>
      </c>
      <c r="F1260" s="8">
        <v>0.35</v>
      </c>
      <c r="G1260" s="4">
        <v>142</v>
      </c>
      <c r="H1260" s="8">
        <v>10.36</v>
      </c>
      <c r="I1260" s="4">
        <v>0</v>
      </c>
    </row>
    <row r="1261" spans="1:9" x14ac:dyDescent="0.2">
      <c r="A1261" s="2">
        <v>2</v>
      </c>
      <c r="B1261" s="1" t="s">
        <v>160</v>
      </c>
      <c r="C1261" s="4">
        <v>81</v>
      </c>
      <c r="D1261" s="8">
        <v>3.61</v>
      </c>
      <c r="E1261" s="4">
        <v>22</v>
      </c>
      <c r="F1261" s="8">
        <v>2.5499999999999998</v>
      </c>
      <c r="G1261" s="4">
        <v>59</v>
      </c>
      <c r="H1261" s="8">
        <v>4.3</v>
      </c>
      <c r="I1261" s="4">
        <v>0</v>
      </c>
    </row>
    <row r="1262" spans="1:9" x14ac:dyDescent="0.2">
      <c r="A1262" s="2">
        <v>3</v>
      </c>
      <c r="B1262" s="1" t="s">
        <v>169</v>
      </c>
      <c r="C1262" s="4">
        <v>74</v>
      </c>
      <c r="D1262" s="8">
        <v>3.3</v>
      </c>
      <c r="E1262" s="4">
        <v>69</v>
      </c>
      <c r="F1262" s="8">
        <v>8</v>
      </c>
      <c r="G1262" s="4">
        <v>5</v>
      </c>
      <c r="H1262" s="8">
        <v>0.36</v>
      </c>
      <c r="I1262" s="4">
        <v>0</v>
      </c>
    </row>
    <row r="1263" spans="1:9" x14ac:dyDescent="0.2">
      <c r="A1263" s="2">
        <v>4</v>
      </c>
      <c r="B1263" s="1" t="s">
        <v>198</v>
      </c>
      <c r="C1263" s="4">
        <v>61</v>
      </c>
      <c r="D1263" s="8">
        <v>2.72</v>
      </c>
      <c r="E1263" s="4">
        <v>33</v>
      </c>
      <c r="F1263" s="8">
        <v>3.83</v>
      </c>
      <c r="G1263" s="4">
        <v>28</v>
      </c>
      <c r="H1263" s="8">
        <v>2.04</v>
      </c>
      <c r="I1263" s="4">
        <v>0</v>
      </c>
    </row>
    <row r="1264" spans="1:9" x14ac:dyDescent="0.2">
      <c r="A1264" s="2">
        <v>5</v>
      </c>
      <c r="B1264" s="1" t="s">
        <v>215</v>
      </c>
      <c r="C1264" s="4">
        <v>53</v>
      </c>
      <c r="D1264" s="8">
        <v>2.37</v>
      </c>
      <c r="E1264" s="4">
        <v>32</v>
      </c>
      <c r="F1264" s="8">
        <v>3.71</v>
      </c>
      <c r="G1264" s="4">
        <v>21</v>
      </c>
      <c r="H1264" s="8">
        <v>1.53</v>
      </c>
      <c r="I1264" s="4">
        <v>0</v>
      </c>
    </row>
    <row r="1265" spans="1:9" x14ac:dyDescent="0.2">
      <c r="A1265" s="2">
        <v>6</v>
      </c>
      <c r="B1265" s="1" t="s">
        <v>165</v>
      </c>
      <c r="C1265" s="4">
        <v>50</v>
      </c>
      <c r="D1265" s="8">
        <v>2.23</v>
      </c>
      <c r="E1265" s="4">
        <v>49</v>
      </c>
      <c r="F1265" s="8">
        <v>5.68</v>
      </c>
      <c r="G1265" s="4">
        <v>1</v>
      </c>
      <c r="H1265" s="8">
        <v>7.0000000000000007E-2</v>
      </c>
      <c r="I1265" s="4">
        <v>0</v>
      </c>
    </row>
    <row r="1266" spans="1:9" x14ac:dyDescent="0.2">
      <c r="A1266" s="2">
        <v>7</v>
      </c>
      <c r="B1266" s="1" t="s">
        <v>153</v>
      </c>
      <c r="C1266" s="4">
        <v>49</v>
      </c>
      <c r="D1266" s="8">
        <v>2.19</v>
      </c>
      <c r="E1266" s="4">
        <v>10</v>
      </c>
      <c r="F1266" s="8">
        <v>1.1599999999999999</v>
      </c>
      <c r="G1266" s="4">
        <v>39</v>
      </c>
      <c r="H1266" s="8">
        <v>2.84</v>
      </c>
      <c r="I1266" s="4">
        <v>0</v>
      </c>
    </row>
    <row r="1267" spans="1:9" x14ac:dyDescent="0.2">
      <c r="A1267" s="2">
        <v>7</v>
      </c>
      <c r="B1267" s="1" t="s">
        <v>174</v>
      </c>
      <c r="C1267" s="4">
        <v>49</v>
      </c>
      <c r="D1267" s="8">
        <v>2.19</v>
      </c>
      <c r="E1267" s="4">
        <v>13</v>
      </c>
      <c r="F1267" s="8">
        <v>1.51</v>
      </c>
      <c r="G1267" s="4">
        <v>36</v>
      </c>
      <c r="H1267" s="8">
        <v>2.63</v>
      </c>
      <c r="I1267" s="4">
        <v>0</v>
      </c>
    </row>
    <row r="1268" spans="1:9" x14ac:dyDescent="0.2">
      <c r="A1268" s="2">
        <v>9</v>
      </c>
      <c r="B1268" s="1" t="s">
        <v>171</v>
      </c>
      <c r="C1268" s="4">
        <v>44</v>
      </c>
      <c r="D1268" s="8">
        <v>1.96</v>
      </c>
      <c r="E1268" s="4">
        <v>40</v>
      </c>
      <c r="F1268" s="8">
        <v>4.6399999999999997</v>
      </c>
      <c r="G1268" s="4">
        <v>4</v>
      </c>
      <c r="H1268" s="8">
        <v>0.28999999999999998</v>
      </c>
      <c r="I1268" s="4">
        <v>0</v>
      </c>
    </row>
    <row r="1269" spans="1:9" x14ac:dyDescent="0.2">
      <c r="A1269" s="2">
        <v>10</v>
      </c>
      <c r="B1269" s="1" t="s">
        <v>162</v>
      </c>
      <c r="C1269" s="4">
        <v>40</v>
      </c>
      <c r="D1269" s="8">
        <v>1.78</v>
      </c>
      <c r="E1269" s="4">
        <v>0</v>
      </c>
      <c r="F1269" s="8">
        <v>0</v>
      </c>
      <c r="G1269" s="4">
        <v>40</v>
      </c>
      <c r="H1269" s="8">
        <v>2.92</v>
      </c>
      <c r="I1269" s="4">
        <v>0</v>
      </c>
    </row>
    <row r="1270" spans="1:9" x14ac:dyDescent="0.2">
      <c r="A1270" s="2">
        <v>10</v>
      </c>
      <c r="B1270" s="1" t="s">
        <v>168</v>
      </c>
      <c r="C1270" s="4">
        <v>40</v>
      </c>
      <c r="D1270" s="8">
        <v>1.78</v>
      </c>
      <c r="E1270" s="4">
        <v>39</v>
      </c>
      <c r="F1270" s="8">
        <v>4.5199999999999996</v>
      </c>
      <c r="G1270" s="4">
        <v>1</v>
      </c>
      <c r="H1270" s="8">
        <v>7.0000000000000007E-2</v>
      </c>
      <c r="I1270" s="4">
        <v>0</v>
      </c>
    </row>
    <row r="1271" spans="1:9" x14ac:dyDescent="0.2">
      <c r="A1271" s="2">
        <v>12</v>
      </c>
      <c r="B1271" s="1" t="s">
        <v>190</v>
      </c>
      <c r="C1271" s="4">
        <v>37</v>
      </c>
      <c r="D1271" s="8">
        <v>1.65</v>
      </c>
      <c r="E1271" s="4">
        <v>4</v>
      </c>
      <c r="F1271" s="8">
        <v>0.46</v>
      </c>
      <c r="G1271" s="4">
        <v>33</v>
      </c>
      <c r="H1271" s="8">
        <v>2.41</v>
      </c>
      <c r="I1271" s="4">
        <v>0</v>
      </c>
    </row>
    <row r="1272" spans="1:9" x14ac:dyDescent="0.2">
      <c r="A1272" s="2">
        <v>13</v>
      </c>
      <c r="B1272" s="1" t="s">
        <v>192</v>
      </c>
      <c r="C1272" s="4">
        <v>35</v>
      </c>
      <c r="D1272" s="8">
        <v>1.56</v>
      </c>
      <c r="E1272" s="4">
        <v>8</v>
      </c>
      <c r="F1272" s="8">
        <v>0.93</v>
      </c>
      <c r="G1272" s="4">
        <v>27</v>
      </c>
      <c r="H1272" s="8">
        <v>1.97</v>
      </c>
      <c r="I1272" s="4">
        <v>0</v>
      </c>
    </row>
    <row r="1273" spans="1:9" x14ac:dyDescent="0.2">
      <c r="A1273" s="2">
        <v>14</v>
      </c>
      <c r="B1273" s="1" t="s">
        <v>152</v>
      </c>
      <c r="C1273" s="4">
        <v>34</v>
      </c>
      <c r="D1273" s="8">
        <v>1.52</v>
      </c>
      <c r="E1273" s="4">
        <v>4</v>
      </c>
      <c r="F1273" s="8">
        <v>0.46</v>
      </c>
      <c r="G1273" s="4">
        <v>30</v>
      </c>
      <c r="H1273" s="8">
        <v>2.19</v>
      </c>
      <c r="I1273" s="4">
        <v>0</v>
      </c>
    </row>
    <row r="1274" spans="1:9" x14ac:dyDescent="0.2">
      <c r="A1274" s="2">
        <v>14</v>
      </c>
      <c r="B1274" s="1" t="s">
        <v>164</v>
      </c>
      <c r="C1274" s="4">
        <v>34</v>
      </c>
      <c r="D1274" s="8">
        <v>1.52</v>
      </c>
      <c r="E1274" s="4">
        <v>31</v>
      </c>
      <c r="F1274" s="8">
        <v>3.6</v>
      </c>
      <c r="G1274" s="4">
        <v>3</v>
      </c>
      <c r="H1274" s="8">
        <v>0.22</v>
      </c>
      <c r="I1274" s="4">
        <v>0</v>
      </c>
    </row>
    <row r="1275" spans="1:9" x14ac:dyDescent="0.2">
      <c r="A1275" s="2">
        <v>16</v>
      </c>
      <c r="B1275" s="1" t="s">
        <v>161</v>
      </c>
      <c r="C1275" s="4">
        <v>32</v>
      </c>
      <c r="D1275" s="8">
        <v>1.43</v>
      </c>
      <c r="E1275" s="4">
        <v>12</v>
      </c>
      <c r="F1275" s="8">
        <v>1.39</v>
      </c>
      <c r="G1275" s="4">
        <v>20</v>
      </c>
      <c r="H1275" s="8">
        <v>1.46</v>
      </c>
      <c r="I1275" s="4">
        <v>0</v>
      </c>
    </row>
    <row r="1276" spans="1:9" x14ac:dyDescent="0.2">
      <c r="A1276" s="2">
        <v>16</v>
      </c>
      <c r="B1276" s="1" t="s">
        <v>167</v>
      </c>
      <c r="C1276" s="4">
        <v>32</v>
      </c>
      <c r="D1276" s="8">
        <v>1.43</v>
      </c>
      <c r="E1276" s="4">
        <v>32</v>
      </c>
      <c r="F1276" s="8">
        <v>3.71</v>
      </c>
      <c r="G1276" s="4">
        <v>0</v>
      </c>
      <c r="H1276" s="8">
        <v>0</v>
      </c>
      <c r="I1276" s="4">
        <v>0</v>
      </c>
    </row>
    <row r="1277" spans="1:9" x14ac:dyDescent="0.2">
      <c r="A1277" s="2">
        <v>18</v>
      </c>
      <c r="B1277" s="1" t="s">
        <v>217</v>
      </c>
      <c r="C1277" s="4">
        <v>31</v>
      </c>
      <c r="D1277" s="8">
        <v>1.38</v>
      </c>
      <c r="E1277" s="4">
        <v>13</v>
      </c>
      <c r="F1277" s="8">
        <v>1.51</v>
      </c>
      <c r="G1277" s="4">
        <v>18</v>
      </c>
      <c r="H1277" s="8">
        <v>1.31</v>
      </c>
      <c r="I1277" s="4">
        <v>0</v>
      </c>
    </row>
    <row r="1278" spans="1:9" x14ac:dyDescent="0.2">
      <c r="A1278" s="2">
        <v>19</v>
      </c>
      <c r="B1278" s="1" t="s">
        <v>191</v>
      </c>
      <c r="C1278" s="4">
        <v>29</v>
      </c>
      <c r="D1278" s="8">
        <v>1.29</v>
      </c>
      <c r="E1278" s="4">
        <v>7</v>
      </c>
      <c r="F1278" s="8">
        <v>0.81</v>
      </c>
      <c r="G1278" s="4">
        <v>22</v>
      </c>
      <c r="H1278" s="8">
        <v>1.6</v>
      </c>
      <c r="I1278" s="4">
        <v>0</v>
      </c>
    </row>
    <row r="1279" spans="1:9" x14ac:dyDescent="0.2">
      <c r="A1279" s="2">
        <v>19</v>
      </c>
      <c r="B1279" s="1" t="s">
        <v>158</v>
      </c>
      <c r="C1279" s="4">
        <v>29</v>
      </c>
      <c r="D1279" s="8">
        <v>1.29</v>
      </c>
      <c r="E1279" s="4">
        <v>3</v>
      </c>
      <c r="F1279" s="8">
        <v>0.35</v>
      </c>
      <c r="G1279" s="4">
        <v>26</v>
      </c>
      <c r="H1279" s="8">
        <v>1.9</v>
      </c>
      <c r="I1279" s="4">
        <v>0</v>
      </c>
    </row>
    <row r="1280" spans="1:9" x14ac:dyDescent="0.2">
      <c r="A1280" s="1"/>
      <c r="C1280" s="4"/>
      <c r="D1280" s="8"/>
      <c r="E1280" s="4"/>
      <c r="F1280" s="8"/>
      <c r="G1280" s="4"/>
      <c r="H1280" s="8"/>
      <c r="I1280" s="4"/>
    </row>
    <row r="1281" spans="1:9" x14ac:dyDescent="0.2">
      <c r="A1281" s="1" t="s">
        <v>57</v>
      </c>
      <c r="C1281" s="4"/>
      <c r="D1281" s="8"/>
      <c r="E1281" s="4"/>
      <c r="F1281" s="8"/>
      <c r="G1281" s="4"/>
      <c r="H1281" s="8"/>
      <c r="I1281" s="4"/>
    </row>
    <row r="1282" spans="1:9" x14ac:dyDescent="0.2">
      <c r="A1282" s="2">
        <v>1</v>
      </c>
      <c r="B1282" s="1" t="s">
        <v>169</v>
      </c>
      <c r="C1282" s="4">
        <v>67</v>
      </c>
      <c r="D1282" s="8">
        <v>5.97</v>
      </c>
      <c r="E1282" s="4">
        <v>60</v>
      </c>
      <c r="F1282" s="8">
        <v>10.15</v>
      </c>
      <c r="G1282" s="4">
        <v>7</v>
      </c>
      <c r="H1282" s="8">
        <v>1.33</v>
      </c>
      <c r="I1282" s="4">
        <v>0</v>
      </c>
    </row>
    <row r="1283" spans="1:9" x14ac:dyDescent="0.2">
      <c r="A1283" s="2">
        <v>2</v>
      </c>
      <c r="B1283" s="1" t="s">
        <v>160</v>
      </c>
      <c r="C1283" s="4">
        <v>49</v>
      </c>
      <c r="D1283" s="8">
        <v>4.3600000000000003</v>
      </c>
      <c r="E1283" s="4">
        <v>18</v>
      </c>
      <c r="F1283" s="8">
        <v>3.05</v>
      </c>
      <c r="G1283" s="4">
        <v>31</v>
      </c>
      <c r="H1283" s="8">
        <v>5.87</v>
      </c>
      <c r="I1283" s="4">
        <v>0</v>
      </c>
    </row>
    <row r="1284" spans="1:9" x14ac:dyDescent="0.2">
      <c r="A1284" s="2">
        <v>3</v>
      </c>
      <c r="B1284" s="1" t="s">
        <v>171</v>
      </c>
      <c r="C1284" s="4">
        <v>40</v>
      </c>
      <c r="D1284" s="8">
        <v>3.56</v>
      </c>
      <c r="E1284" s="4">
        <v>33</v>
      </c>
      <c r="F1284" s="8">
        <v>5.58</v>
      </c>
      <c r="G1284" s="4">
        <v>7</v>
      </c>
      <c r="H1284" s="8">
        <v>1.33</v>
      </c>
      <c r="I1284" s="4">
        <v>0</v>
      </c>
    </row>
    <row r="1285" spans="1:9" x14ac:dyDescent="0.2">
      <c r="A1285" s="2">
        <v>4</v>
      </c>
      <c r="B1285" s="1" t="s">
        <v>170</v>
      </c>
      <c r="C1285" s="4">
        <v>38</v>
      </c>
      <c r="D1285" s="8">
        <v>3.38</v>
      </c>
      <c r="E1285" s="4">
        <v>35</v>
      </c>
      <c r="F1285" s="8">
        <v>5.92</v>
      </c>
      <c r="G1285" s="4">
        <v>3</v>
      </c>
      <c r="H1285" s="8">
        <v>0.56999999999999995</v>
      </c>
      <c r="I1285" s="4">
        <v>0</v>
      </c>
    </row>
    <row r="1286" spans="1:9" x14ac:dyDescent="0.2">
      <c r="A1286" s="2">
        <v>5</v>
      </c>
      <c r="B1286" s="1" t="s">
        <v>165</v>
      </c>
      <c r="C1286" s="4">
        <v>32</v>
      </c>
      <c r="D1286" s="8">
        <v>2.85</v>
      </c>
      <c r="E1286" s="4">
        <v>29</v>
      </c>
      <c r="F1286" s="8">
        <v>4.91</v>
      </c>
      <c r="G1286" s="4">
        <v>3</v>
      </c>
      <c r="H1286" s="8">
        <v>0.56999999999999995</v>
      </c>
      <c r="I1286" s="4">
        <v>0</v>
      </c>
    </row>
    <row r="1287" spans="1:9" x14ac:dyDescent="0.2">
      <c r="A1287" s="2">
        <v>6</v>
      </c>
      <c r="B1287" s="1" t="s">
        <v>161</v>
      </c>
      <c r="C1287" s="4">
        <v>27</v>
      </c>
      <c r="D1287" s="8">
        <v>2.4</v>
      </c>
      <c r="E1287" s="4">
        <v>20</v>
      </c>
      <c r="F1287" s="8">
        <v>3.38</v>
      </c>
      <c r="G1287" s="4">
        <v>7</v>
      </c>
      <c r="H1287" s="8">
        <v>1.33</v>
      </c>
      <c r="I1287" s="4">
        <v>0</v>
      </c>
    </row>
    <row r="1288" spans="1:9" x14ac:dyDescent="0.2">
      <c r="A1288" s="2">
        <v>7</v>
      </c>
      <c r="B1288" s="1" t="s">
        <v>168</v>
      </c>
      <c r="C1288" s="4">
        <v>26</v>
      </c>
      <c r="D1288" s="8">
        <v>2.3199999999999998</v>
      </c>
      <c r="E1288" s="4">
        <v>25</v>
      </c>
      <c r="F1288" s="8">
        <v>4.2300000000000004</v>
      </c>
      <c r="G1288" s="4">
        <v>1</v>
      </c>
      <c r="H1288" s="8">
        <v>0.19</v>
      </c>
      <c r="I1288" s="4">
        <v>0</v>
      </c>
    </row>
    <row r="1289" spans="1:9" x14ac:dyDescent="0.2">
      <c r="A1289" s="2">
        <v>8</v>
      </c>
      <c r="B1289" s="1" t="s">
        <v>152</v>
      </c>
      <c r="C1289" s="4">
        <v>24</v>
      </c>
      <c r="D1289" s="8">
        <v>2.14</v>
      </c>
      <c r="E1289" s="4">
        <v>1</v>
      </c>
      <c r="F1289" s="8">
        <v>0.17</v>
      </c>
      <c r="G1289" s="4">
        <v>23</v>
      </c>
      <c r="H1289" s="8">
        <v>4.3600000000000003</v>
      </c>
      <c r="I1289" s="4">
        <v>0</v>
      </c>
    </row>
    <row r="1290" spans="1:9" x14ac:dyDescent="0.2">
      <c r="A1290" s="2">
        <v>9</v>
      </c>
      <c r="B1290" s="1" t="s">
        <v>167</v>
      </c>
      <c r="C1290" s="4">
        <v>23</v>
      </c>
      <c r="D1290" s="8">
        <v>2.0499999999999998</v>
      </c>
      <c r="E1290" s="4">
        <v>21</v>
      </c>
      <c r="F1290" s="8">
        <v>3.55</v>
      </c>
      <c r="G1290" s="4">
        <v>2</v>
      </c>
      <c r="H1290" s="8">
        <v>0.38</v>
      </c>
      <c r="I1290" s="4">
        <v>0</v>
      </c>
    </row>
    <row r="1291" spans="1:9" x14ac:dyDescent="0.2">
      <c r="A1291" s="2">
        <v>10</v>
      </c>
      <c r="B1291" s="1" t="s">
        <v>164</v>
      </c>
      <c r="C1291" s="4">
        <v>22</v>
      </c>
      <c r="D1291" s="8">
        <v>1.96</v>
      </c>
      <c r="E1291" s="4">
        <v>18</v>
      </c>
      <c r="F1291" s="8">
        <v>3.05</v>
      </c>
      <c r="G1291" s="4">
        <v>4</v>
      </c>
      <c r="H1291" s="8">
        <v>0.76</v>
      </c>
      <c r="I1291" s="4">
        <v>0</v>
      </c>
    </row>
    <row r="1292" spans="1:9" x14ac:dyDescent="0.2">
      <c r="A1292" s="2">
        <v>10</v>
      </c>
      <c r="B1292" s="1" t="s">
        <v>196</v>
      </c>
      <c r="C1292" s="4">
        <v>22</v>
      </c>
      <c r="D1292" s="8">
        <v>1.96</v>
      </c>
      <c r="E1292" s="4">
        <v>14</v>
      </c>
      <c r="F1292" s="8">
        <v>2.37</v>
      </c>
      <c r="G1292" s="4">
        <v>8</v>
      </c>
      <c r="H1292" s="8">
        <v>1.52</v>
      </c>
      <c r="I1292" s="4">
        <v>0</v>
      </c>
    </row>
    <row r="1293" spans="1:9" x14ac:dyDescent="0.2">
      <c r="A1293" s="2">
        <v>12</v>
      </c>
      <c r="B1293" s="1" t="s">
        <v>174</v>
      </c>
      <c r="C1293" s="4">
        <v>21</v>
      </c>
      <c r="D1293" s="8">
        <v>1.87</v>
      </c>
      <c r="E1293" s="4">
        <v>1</v>
      </c>
      <c r="F1293" s="8">
        <v>0.17</v>
      </c>
      <c r="G1293" s="4">
        <v>20</v>
      </c>
      <c r="H1293" s="8">
        <v>3.79</v>
      </c>
      <c r="I1293" s="4">
        <v>0</v>
      </c>
    </row>
    <row r="1294" spans="1:9" x14ac:dyDescent="0.2">
      <c r="A1294" s="2">
        <v>13</v>
      </c>
      <c r="B1294" s="1" t="s">
        <v>156</v>
      </c>
      <c r="C1294" s="4">
        <v>19</v>
      </c>
      <c r="D1294" s="8">
        <v>1.69</v>
      </c>
      <c r="E1294" s="4">
        <v>13</v>
      </c>
      <c r="F1294" s="8">
        <v>2.2000000000000002</v>
      </c>
      <c r="G1294" s="4">
        <v>6</v>
      </c>
      <c r="H1294" s="8">
        <v>1.1399999999999999</v>
      </c>
      <c r="I1294" s="4">
        <v>0</v>
      </c>
    </row>
    <row r="1295" spans="1:9" x14ac:dyDescent="0.2">
      <c r="A1295" s="2">
        <v>13</v>
      </c>
      <c r="B1295" s="1" t="s">
        <v>215</v>
      </c>
      <c r="C1295" s="4">
        <v>19</v>
      </c>
      <c r="D1295" s="8">
        <v>1.69</v>
      </c>
      <c r="E1295" s="4">
        <v>14</v>
      </c>
      <c r="F1295" s="8">
        <v>2.37</v>
      </c>
      <c r="G1295" s="4">
        <v>5</v>
      </c>
      <c r="H1295" s="8">
        <v>0.95</v>
      </c>
      <c r="I1295" s="4">
        <v>0</v>
      </c>
    </row>
    <row r="1296" spans="1:9" x14ac:dyDescent="0.2">
      <c r="A1296" s="2">
        <v>13</v>
      </c>
      <c r="B1296" s="1" t="s">
        <v>166</v>
      </c>
      <c r="C1296" s="4">
        <v>19</v>
      </c>
      <c r="D1296" s="8">
        <v>1.69</v>
      </c>
      <c r="E1296" s="4">
        <v>19</v>
      </c>
      <c r="F1296" s="8">
        <v>3.21</v>
      </c>
      <c r="G1296" s="4">
        <v>0</v>
      </c>
      <c r="H1296" s="8">
        <v>0</v>
      </c>
      <c r="I1296" s="4">
        <v>0</v>
      </c>
    </row>
    <row r="1297" spans="1:9" x14ac:dyDescent="0.2">
      <c r="A1297" s="2">
        <v>13</v>
      </c>
      <c r="B1297" s="1" t="s">
        <v>198</v>
      </c>
      <c r="C1297" s="4">
        <v>19</v>
      </c>
      <c r="D1297" s="8">
        <v>1.69</v>
      </c>
      <c r="E1297" s="4">
        <v>14</v>
      </c>
      <c r="F1297" s="8">
        <v>2.37</v>
      </c>
      <c r="G1297" s="4">
        <v>5</v>
      </c>
      <c r="H1297" s="8">
        <v>0.95</v>
      </c>
      <c r="I1297" s="4">
        <v>0</v>
      </c>
    </row>
    <row r="1298" spans="1:9" x14ac:dyDescent="0.2">
      <c r="A1298" s="2">
        <v>17</v>
      </c>
      <c r="B1298" s="1" t="s">
        <v>157</v>
      </c>
      <c r="C1298" s="4">
        <v>18</v>
      </c>
      <c r="D1298" s="8">
        <v>1.6</v>
      </c>
      <c r="E1298" s="4">
        <v>13</v>
      </c>
      <c r="F1298" s="8">
        <v>2.2000000000000002</v>
      </c>
      <c r="G1298" s="4">
        <v>5</v>
      </c>
      <c r="H1298" s="8">
        <v>0.95</v>
      </c>
      <c r="I1298" s="4">
        <v>0</v>
      </c>
    </row>
    <row r="1299" spans="1:9" x14ac:dyDescent="0.2">
      <c r="A1299" s="2">
        <v>17</v>
      </c>
      <c r="B1299" s="1" t="s">
        <v>199</v>
      </c>
      <c r="C1299" s="4">
        <v>18</v>
      </c>
      <c r="D1299" s="8">
        <v>1.6</v>
      </c>
      <c r="E1299" s="4">
        <v>14</v>
      </c>
      <c r="F1299" s="8">
        <v>2.37</v>
      </c>
      <c r="G1299" s="4">
        <v>4</v>
      </c>
      <c r="H1299" s="8">
        <v>0.76</v>
      </c>
      <c r="I1299" s="4">
        <v>0</v>
      </c>
    </row>
    <row r="1300" spans="1:9" x14ac:dyDescent="0.2">
      <c r="A1300" s="2">
        <v>19</v>
      </c>
      <c r="B1300" s="1" t="s">
        <v>153</v>
      </c>
      <c r="C1300" s="4">
        <v>16</v>
      </c>
      <c r="D1300" s="8">
        <v>1.42</v>
      </c>
      <c r="E1300" s="4">
        <v>2</v>
      </c>
      <c r="F1300" s="8">
        <v>0.34</v>
      </c>
      <c r="G1300" s="4">
        <v>14</v>
      </c>
      <c r="H1300" s="8">
        <v>2.65</v>
      </c>
      <c r="I1300" s="4">
        <v>0</v>
      </c>
    </row>
    <row r="1301" spans="1:9" x14ac:dyDescent="0.2">
      <c r="A1301" s="2">
        <v>19</v>
      </c>
      <c r="B1301" s="1" t="s">
        <v>158</v>
      </c>
      <c r="C1301" s="4">
        <v>16</v>
      </c>
      <c r="D1301" s="8">
        <v>1.42</v>
      </c>
      <c r="E1301" s="4">
        <v>4</v>
      </c>
      <c r="F1301" s="8">
        <v>0.68</v>
      </c>
      <c r="G1301" s="4">
        <v>12</v>
      </c>
      <c r="H1301" s="8">
        <v>2.27</v>
      </c>
      <c r="I1301" s="4">
        <v>0</v>
      </c>
    </row>
    <row r="1302" spans="1:9" x14ac:dyDescent="0.2">
      <c r="A1302" s="2">
        <v>19</v>
      </c>
      <c r="B1302" s="1" t="s">
        <v>162</v>
      </c>
      <c r="C1302" s="4">
        <v>16</v>
      </c>
      <c r="D1302" s="8">
        <v>1.42</v>
      </c>
      <c r="E1302" s="4">
        <v>0</v>
      </c>
      <c r="F1302" s="8">
        <v>0</v>
      </c>
      <c r="G1302" s="4">
        <v>16</v>
      </c>
      <c r="H1302" s="8">
        <v>3.03</v>
      </c>
      <c r="I1302" s="4">
        <v>0</v>
      </c>
    </row>
    <row r="1303" spans="1:9" x14ac:dyDescent="0.2">
      <c r="A1303" s="1"/>
      <c r="C1303" s="4"/>
      <c r="D1303" s="8"/>
      <c r="E1303" s="4"/>
      <c r="F1303" s="8"/>
      <c r="G1303" s="4"/>
      <c r="H1303" s="8"/>
      <c r="I1303" s="4"/>
    </row>
    <row r="1304" spans="1:9" x14ac:dyDescent="0.2">
      <c r="A1304" s="1" t="s">
        <v>58</v>
      </c>
      <c r="C1304" s="4"/>
      <c r="D1304" s="8"/>
      <c r="E1304" s="4"/>
      <c r="F1304" s="8"/>
      <c r="G1304" s="4"/>
      <c r="H1304" s="8"/>
      <c r="I1304" s="4"/>
    </row>
    <row r="1305" spans="1:9" x14ac:dyDescent="0.2">
      <c r="A1305" s="2">
        <v>1</v>
      </c>
      <c r="B1305" s="1" t="s">
        <v>160</v>
      </c>
      <c r="C1305" s="4">
        <v>115</v>
      </c>
      <c r="D1305" s="8">
        <v>6.96</v>
      </c>
      <c r="E1305" s="4">
        <v>53</v>
      </c>
      <c r="F1305" s="8">
        <v>5.49</v>
      </c>
      <c r="G1305" s="4">
        <v>62</v>
      </c>
      <c r="H1305" s="8">
        <v>9.06</v>
      </c>
      <c r="I1305" s="4">
        <v>0</v>
      </c>
    </row>
    <row r="1306" spans="1:9" x14ac:dyDescent="0.2">
      <c r="A1306" s="2">
        <v>2</v>
      </c>
      <c r="B1306" s="1" t="s">
        <v>169</v>
      </c>
      <c r="C1306" s="4">
        <v>70</v>
      </c>
      <c r="D1306" s="8">
        <v>4.24</v>
      </c>
      <c r="E1306" s="4">
        <v>63</v>
      </c>
      <c r="F1306" s="8">
        <v>6.52</v>
      </c>
      <c r="G1306" s="4">
        <v>7</v>
      </c>
      <c r="H1306" s="8">
        <v>1.02</v>
      </c>
      <c r="I1306" s="4">
        <v>0</v>
      </c>
    </row>
    <row r="1307" spans="1:9" x14ac:dyDescent="0.2">
      <c r="A1307" s="2">
        <v>3</v>
      </c>
      <c r="B1307" s="1" t="s">
        <v>161</v>
      </c>
      <c r="C1307" s="4">
        <v>66</v>
      </c>
      <c r="D1307" s="8">
        <v>4</v>
      </c>
      <c r="E1307" s="4">
        <v>51</v>
      </c>
      <c r="F1307" s="8">
        <v>5.28</v>
      </c>
      <c r="G1307" s="4">
        <v>15</v>
      </c>
      <c r="H1307" s="8">
        <v>2.19</v>
      </c>
      <c r="I1307" s="4">
        <v>0</v>
      </c>
    </row>
    <row r="1308" spans="1:9" x14ac:dyDescent="0.2">
      <c r="A1308" s="2">
        <v>3</v>
      </c>
      <c r="B1308" s="1" t="s">
        <v>165</v>
      </c>
      <c r="C1308" s="4">
        <v>66</v>
      </c>
      <c r="D1308" s="8">
        <v>4</v>
      </c>
      <c r="E1308" s="4">
        <v>65</v>
      </c>
      <c r="F1308" s="8">
        <v>6.73</v>
      </c>
      <c r="G1308" s="4">
        <v>1</v>
      </c>
      <c r="H1308" s="8">
        <v>0.15</v>
      </c>
      <c r="I1308" s="4">
        <v>0</v>
      </c>
    </row>
    <row r="1309" spans="1:9" x14ac:dyDescent="0.2">
      <c r="A1309" s="2">
        <v>5</v>
      </c>
      <c r="B1309" s="1" t="s">
        <v>167</v>
      </c>
      <c r="C1309" s="4">
        <v>51</v>
      </c>
      <c r="D1309" s="8">
        <v>3.09</v>
      </c>
      <c r="E1309" s="4">
        <v>47</v>
      </c>
      <c r="F1309" s="8">
        <v>4.87</v>
      </c>
      <c r="G1309" s="4">
        <v>4</v>
      </c>
      <c r="H1309" s="8">
        <v>0.57999999999999996</v>
      </c>
      <c r="I1309" s="4">
        <v>0</v>
      </c>
    </row>
    <row r="1310" spans="1:9" x14ac:dyDescent="0.2">
      <c r="A1310" s="2">
        <v>6</v>
      </c>
      <c r="B1310" s="1" t="s">
        <v>171</v>
      </c>
      <c r="C1310" s="4">
        <v>48</v>
      </c>
      <c r="D1310" s="8">
        <v>2.91</v>
      </c>
      <c r="E1310" s="4">
        <v>47</v>
      </c>
      <c r="F1310" s="8">
        <v>4.87</v>
      </c>
      <c r="G1310" s="4">
        <v>1</v>
      </c>
      <c r="H1310" s="8">
        <v>0.15</v>
      </c>
      <c r="I1310" s="4">
        <v>0</v>
      </c>
    </row>
    <row r="1311" spans="1:9" x14ac:dyDescent="0.2">
      <c r="A1311" s="2">
        <v>7</v>
      </c>
      <c r="B1311" s="1" t="s">
        <v>170</v>
      </c>
      <c r="C1311" s="4">
        <v>45</v>
      </c>
      <c r="D1311" s="8">
        <v>2.72</v>
      </c>
      <c r="E1311" s="4">
        <v>39</v>
      </c>
      <c r="F1311" s="8">
        <v>4.04</v>
      </c>
      <c r="G1311" s="4">
        <v>6</v>
      </c>
      <c r="H1311" s="8">
        <v>0.88</v>
      </c>
      <c r="I1311" s="4">
        <v>0</v>
      </c>
    </row>
    <row r="1312" spans="1:9" x14ac:dyDescent="0.2">
      <c r="A1312" s="2">
        <v>8</v>
      </c>
      <c r="B1312" s="1" t="s">
        <v>168</v>
      </c>
      <c r="C1312" s="4">
        <v>42</v>
      </c>
      <c r="D1312" s="8">
        <v>2.54</v>
      </c>
      <c r="E1312" s="4">
        <v>39</v>
      </c>
      <c r="F1312" s="8">
        <v>4.04</v>
      </c>
      <c r="G1312" s="4">
        <v>3</v>
      </c>
      <c r="H1312" s="8">
        <v>0.44</v>
      </c>
      <c r="I1312" s="4">
        <v>0</v>
      </c>
    </row>
    <row r="1313" spans="1:9" x14ac:dyDescent="0.2">
      <c r="A1313" s="2">
        <v>9</v>
      </c>
      <c r="B1313" s="1" t="s">
        <v>157</v>
      </c>
      <c r="C1313" s="4">
        <v>41</v>
      </c>
      <c r="D1313" s="8">
        <v>2.48</v>
      </c>
      <c r="E1313" s="4">
        <v>34</v>
      </c>
      <c r="F1313" s="8">
        <v>3.52</v>
      </c>
      <c r="G1313" s="4">
        <v>7</v>
      </c>
      <c r="H1313" s="8">
        <v>1.02</v>
      </c>
      <c r="I1313" s="4">
        <v>0</v>
      </c>
    </row>
    <row r="1314" spans="1:9" x14ac:dyDescent="0.2">
      <c r="A1314" s="2">
        <v>10</v>
      </c>
      <c r="B1314" s="1" t="s">
        <v>164</v>
      </c>
      <c r="C1314" s="4">
        <v>39</v>
      </c>
      <c r="D1314" s="8">
        <v>2.36</v>
      </c>
      <c r="E1314" s="4">
        <v>32</v>
      </c>
      <c r="F1314" s="8">
        <v>3.31</v>
      </c>
      <c r="G1314" s="4">
        <v>7</v>
      </c>
      <c r="H1314" s="8">
        <v>1.02</v>
      </c>
      <c r="I1314" s="4">
        <v>0</v>
      </c>
    </row>
    <row r="1315" spans="1:9" x14ac:dyDescent="0.2">
      <c r="A1315" s="2">
        <v>11</v>
      </c>
      <c r="B1315" s="1" t="s">
        <v>159</v>
      </c>
      <c r="C1315" s="4">
        <v>36</v>
      </c>
      <c r="D1315" s="8">
        <v>2.1800000000000002</v>
      </c>
      <c r="E1315" s="4">
        <v>3</v>
      </c>
      <c r="F1315" s="8">
        <v>0.31</v>
      </c>
      <c r="G1315" s="4">
        <v>33</v>
      </c>
      <c r="H1315" s="8">
        <v>4.82</v>
      </c>
      <c r="I1315" s="4">
        <v>0</v>
      </c>
    </row>
    <row r="1316" spans="1:9" x14ac:dyDescent="0.2">
      <c r="A1316" s="2">
        <v>12</v>
      </c>
      <c r="B1316" s="1" t="s">
        <v>158</v>
      </c>
      <c r="C1316" s="4">
        <v>32</v>
      </c>
      <c r="D1316" s="8">
        <v>1.94</v>
      </c>
      <c r="E1316" s="4">
        <v>12</v>
      </c>
      <c r="F1316" s="8">
        <v>1.24</v>
      </c>
      <c r="G1316" s="4">
        <v>20</v>
      </c>
      <c r="H1316" s="8">
        <v>2.92</v>
      </c>
      <c r="I1316" s="4">
        <v>0</v>
      </c>
    </row>
    <row r="1317" spans="1:9" x14ac:dyDescent="0.2">
      <c r="A1317" s="2">
        <v>13</v>
      </c>
      <c r="B1317" s="1" t="s">
        <v>155</v>
      </c>
      <c r="C1317" s="4">
        <v>31</v>
      </c>
      <c r="D1317" s="8">
        <v>1.88</v>
      </c>
      <c r="E1317" s="4">
        <v>14</v>
      </c>
      <c r="F1317" s="8">
        <v>1.45</v>
      </c>
      <c r="G1317" s="4">
        <v>17</v>
      </c>
      <c r="H1317" s="8">
        <v>2.4900000000000002</v>
      </c>
      <c r="I1317" s="4">
        <v>0</v>
      </c>
    </row>
    <row r="1318" spans="1:9" x14ac:dyDescent="0.2">
      <c r="A1318" s="2">
        <v>14</v>
      </c>
      <c r="B1318" s="1" t="s">
        <v>152</v>
      </c>
      <c r="C1318" s="4">
        <v>30</v>
      </c>
      <c r="D1318" s="8">
        <v>1.82</v>
      </c>
      <c r="E1318" s="4">
        <v>8</v>
      </c>
      <c r="F1318" s="8">
        <v>0.83</v>
      </c>
      <c r="G1318" s="4">
        <v>22</v>
      </c>
      <c r="H1318" s="8">
        <v>3.22</v>
      </c>
      <c r="I1318" s="4">
        <v>0</v>
      </c>
    </row>
    <row r="1319" spans="1:9" x14ac:dyDescent="0.2">
      <c r="A1319" s="2">
        <v>14</v>
      </c>
      <c r="B1319" s="1" t="s">
        <v>166</v>
      </c>
      <c r="C1319" s="4">
        <v>30</v>
      </c>
      <c r="D1319" s="8">
        <v>1.82</v>
      </c>
      <c r="E1319" s="4">
        <v>28</v>
      </c>
      <c r="F1319" s="8">
        <v>2.9</v>
      </c>
      <c r="G1319" s="4">
        <v>2</v>
      </c>
      <c r="H1319" s="8">
        <v>0.28999999999999998</v>
      </c>
      <c r="I1319" s="4">
        <v>0</v>
      </c>
    </row>
    <row r="1320" spans="1:9" x14ac:dyDescent="0.2">
      <c r="A1320" s="2">
        <v>16</v>
      </c>
      <c r="B1320" s="1" t="s">
        <v>156</v>
      </c>
      <c r="C1320" s="4">
        <v>29</v>
      </c>
      <c r="D1320" s="8">
        <v>1.76</v>
      </c>
      <c r="E1320" s="4">
        <v>20</v>
      </c>
      <c r="F1320" s="8">
        <v>2.0699999999999998</v>
      </c>
      <c r="G1320" s="4">
        <v>9</v>
      </c>
      <c r="H1320" s="8">
        <v>1.32</v>
      </c>
      <c r="I1320" s="4">
        <v>0</v>
      </c>
    </row>
    <row r="1321" spans="1:9" x14ac:dyDescent="0.2">
      <c r="A1321" s="2">
        <v>17</v>
      </c>
      <c r="B1321" s="1" t="s">
        <v>162</v>
      </c>
      <c r="C1321" s="4">
        <v>27</v>
      </c>
      <c r="D1321" s="8">
        <v>1.63</v>
      </c>
      <c r="E1321" s="4">
        <v>4</v>
      </c>
      <c r="F1321" s="8">
        <v>0.41</v>
      </c>
      <c r="G1321" s="4">
        <v>23</v>
      </c>
      <c r="H1321" s="8">
        <v>3.36</v>
      </c>
      <c r="I1321" s="4">
        <v>0</v>
      </c>
    </row>
    <row r="1322" spans="1:9" x14ac:dyDescent="0.2">
      <c r="A1322" s="2">
        <v>18</v>
      </c>
      <c r="B1322" s="1" t="s">
        <v>215</v>
      </c>
      <c r="C1322" s="4">
        <v>24</v>
      </c>
      <c r="D1322" s="8">
        <v>1.45</v>
      </c>
      <c r="E1322" s="4">
        <v>15</v>
      </c>
      <c r="F1322" s="8">
        <v>1.55</v>
      </c>
      <c r="G1322" s="4">
        <v>9</v>
      </c>
      <c r="H1322" s="8">
        <v>1.32</v>
      </c>
      <c r="I1322" s="4">
        <v>0</v>
      </c>
    </row>
    <row r="1323" spans="1:9" x14ac:dyDescent="0.2">
      <c r="A1323" s="2">
        <v>19</v>
      </c>
      <c r="B1323" s="1" t="s">
        <v>210</v>
      </c>
      <c r="C1323" s="4">
        <v>23</v>
      </c>
      <c r="D1323" s="8">
        <v>1.39</v>
      </c>
      <c r="E1323" s="4">
        <v>10</v>
      </c>
      <c r="F1323" s="8">
        <v>1.04</v>
      </c>
      <c r="G1323" s="4">
        <v>13</v>
      </c>
      <c r="H1323" s="8">
        <v>1.9</v>
      </c>
      <c r="I1323" s="4">
        <v>0</v>
      </c>
    </row>
    <row r="1324" spans="1:9" x14ac:dyDescent="0.2">
      <c r="A1324" s="2">
        <v>20</v>
      </c>
      <c r="B1324" s="1" t="s">
        <v>181</v>
      </c>
      <c r="C1324" s="4">
        <v>21</v>
      </c>
      <c r="D1324" s="8">
        <v>1.27</v>
      </c>
      <c r="E1324" s="4">
        <v>20</v>
      </c>
      <c r="F1324" s="8">
        <v>2.0699999999999998</v>
      </c>
      <c r="G1324" s="4">
        <v>1</v>
      </c>
      <c r="H1324" s="8">
        <v>0.15</v>
      </c>
      <c r="I1324" s="4">
        <v>0</v>
      </c>
    </row>
    <row r="1325" spans="1:9" x14ac:dyDescent="0.2">
      <c r="A1325" s="2">
        <v>20</v>
      </c>
      <c r="B1325" s="1" t="s">
        <v>176</v>
      </c>
      <c r="C1325" s="4">
        <v>21</v>
      </c>
      <c r="D1325" s="8">
        <v>1.27</v>
      </c>
      <c r="E1325" s="4">
        <v>8</v>
      </c>
      <c r="F1325" s="8">
        <v>0.83</v>
      </c>
      <c r="G1325" s="4">
        <v>13</v>
      </c>
      <c r="H1325" s="8">
        <v>1.9</v>
      </c>
      <c r="I1325" s="4">
        <v>0</v>
      </c>
    </row>
    <row r="1326" spans="1:9" x14ac:dyDescent="0.2">
      <c r="A1326" s="1"/>
      <c r="C1326" s="4"/>
      <c r="D1326" s="8"/>
      <c r="E1326" s="4"/>
      <c r="F1326" s="8"/>
      <c r="G1326" s="4"/>
      <c r="H1326" s="8"/>
      <c r="I1326" s="4"/>
    </row>
    <row r="1327" spans="1:9" x14ac:dyDescent="0.2">
      <c r="A1327" s="1" t="s">
        <v>59</v>
      </c>
      <c r="C1327" s="4"/>
      <c r="D1327" s="8"/>
      <c r="E1327" s="4"/>
      <c r="F1327" s="8"/>
      <c r="G1327" s="4"/>
      <c r="H1327" s="8"/>
      <c r="I1327" s="4"/>
    </row>
    <row r="1328" spans="1:9" x14ac:dyDescent="0.2">
      <c r="A1328" s="2">
        <v>1</v>
      </c>
      <c r="B1328" s="1" t="s">
        <v>160</v>
      </c>
      <c r="C1328" s="4">
        <v>608</v>
      </c>
      <c r="D1328" s="8">
        <v>4.12</v>
      </c>
      <c r="E1328" s="4">
        <v>136</v>
      </c>
      <c r="F1328" s="8">
        <v>1.92</v>
      </c>
      <c r="G1328" s="4">
        <v>471</v>
      </c>
      <c r="H1328" s="8">
        <v>6.15</v>
      </c>
      <c r="I1328" s="4">
        <v>1</v>
      </c>
    </row>
    <row r="1329" spans="1:9" x14ac:dyDescent="0.2">
      <c r="A1329" s="2">
        <v>2</v>
      </c>
      <c r="B1329" s="1" t="s">
        <v>169</v>
      </c>
      <c r="C1329" s="4">
        <v>470</v>
      </c>
      <c r="D1329" s="8">
        <v>3.19</v>
      </c>
      <c r="E1329" s="4">
        <v>424</v>
      </c>
      <c r="F1329" s="8">
        <v>5.99</v>
      </c>
      <c r="G1329" s="4">
        <v>46</v>
      </c>
      <c r="H1329" s="8">
        <v>0.6</v>
      </c>
      <c r="I1329" s="4">
        <v>0</v>
      </c>
    </row>
    <row r="1330" spans="1:9" x14ac:dyDescent="0.2">
      <c r="A1330" s="2">
        <v>3</v>
      </c>
      <c r="B1330" s="1" t="s">
        <v>159</v>
      </c>
      <c r="C1330" s="4">
        <v>405</v>
      </c>
      <c r="D1330" s="8">
        <v>2.75</v>
      </c>
      <c r="E1330" s="4">
        <v>18</v>
      </c>
      <c r="F1330" s="8">
        <v>0.25</v>
      </c>
      <c r="G1330" s="4">
        <v>387</v>
      </c>
      <c r="H1330" s="8">
        <v>5.0599999999999996</v>
      </c>
      <c r="I1330" s="4">
        <v>0</v>
      </c>
    </row>
    <row r="1331" spans="1:9" x14ac:dyDescent="0.2">
      <c r="A1331" s="2">
        <v>4</v>
      </c>
      <c r="B1331" s="1" t="s">
        <v>171</v>
      </c>
      <c r="C1331" s="4">
        <v>343</v>
      </c>
      <c r="D1331" s="8">
        <v>2.33</v>
      </c>
      <c r="E1331" s="4">
        <v>289</v>
      </c>
      <c r="F1331" s="8">
        <v>4.09</v>
      </c>
      <c r="G1331" s="4">
        <v>54</v>
      </c>
      <c r="H1331" s="8">
        <v>0.71</v>
      </c>
      <c r="I1331" s="4">
        <v>0</v>
      </c>
    </row>
    <row r="1332" spans="1:9" x14ac:dyDescent="0.2">
      <c r="A1332" s="2">
        <v>5</v>
      </c>
      <c r="B1332" s="1" t="s">
        <v>167</v>
      </c>
      <c r="C1332" s="4">
        <v>333</v>
      </c>
      <c r="D1332" s="8">
        <v>2.2599999999999998</v>
      </c>
      <c r="E1332" s="4">
        <v>316</v>
      </c>
      <c r="F1332" s="8">
        <v>4.47</v>
      </c>
      <c r="G1332" s="4">
        <v>17</v>
      </c>
      <c r="H1332" s="8">
        <v>0.22</v>
      </c>
      <c r="I1332" s="4">
        <v>0</v>
      </c>
    </row>
    <row r="1333" spans="1:9" x14ac:dyDescent="0.2">
      <c r="A1333" s="2">
        <v>6</v>
      </c>
      <c r="B1333" s="1" t="s">
        <v>165</v>
      </c>
      <c r="C1333" s="4">
        <v>290</v>
      </c>
      <c r="D1333" s="8">
        <v>1.97</v>
      </c>
      <c r="E1333" s="4">
        <v>276</v>
      </c>
      <c r="F1333" s="8">
        <v>3.9</v>
      </c>
      <c r="G1333" s="4">
        <v>14</v>
      </c>
      <c r="H1333" s="8">
        <v>0.18</v>
      </c>
      <c r="I1333" s="4">
        <v>0</v>
      </c>
    </row>
    <row r="1334" spans="1:9" x14ac:dyDescent="0.2">
      <c r="A1334" s="2">
        <v>7</v>
      </c>
      <c r="B1334" s="1" t="s">
        <v>168</v>
      </c>
      <c r="C1334" s="4">
        <v>281</v>
      </c>
      <c r="D1334" s="8">
        <v>1.91</v>
      </c>
      <c r="E1334" s="4">
        <v>272</v>
      </c>
      <c r="F1334" s="8">
        <v>3.85</v>
      </c>
      <c r="G1334" s="4">
        <v>9</v>
      </c>
      <c r="H1334" s="8">
        <v>0.12</v>
      </c>
      <c r="I1334" s="4">
        <v>0</v>
      </c>
    </row>
    <row r="1335" spans="1:9" x14ac:dyDescent="0.2">
      <c r="A1335" s="2">
        <v>8</v>
      </c>
      <c r="B1335" s="1" t="s">
        <v>192</v>
      </c>
      <c r="C1335" s="4">
        <v>257</v>
      </c>
      <c r="D1335" s="8">
        <v>1.74</v>
      </c>
      <c r="E1335" s="4">
        <v>105</v>
      </c>
      <c r="F1335" s="8">
        <v>1.48</v>
      </c>
      <c r="G1335" s="4">
        <v>152</v>
      </c>
      <c r="H1335" s="8">
        <v>1.99</v>
      </c>
      <c r="I1335" s="4">
        <v>0</v>
      </c>
    </row>
    <row r="1336" spans="1:9" x14ac:dyDescent="0.2">
      <c r="A1336" s="2">
        <v>9</v>
      </c>
      <c r="B1336" s="1" t="s">
        <v>170</v>
      </c>
      <c r="C1336" s="4">
        <v>241</v>
      </c>
      <c r="D1336" s="8">
        <v>1.64</v>
      </c>
      <c r="E1336" s="4">
        <v>204</v>
      </c>
      <c r="F1336" s="8">
        <v>2.88</v>
      </c>
      <c r="G1336" s="4">
        <v>37</v>
      </c>
      <c r="H1336" s="8">
        <v>0.48</v>
      </c>
      <c r="I1336" s="4">
        <v>0</v>
      </c>
    </row>
    <row r="1337" spans="1:9" x14ac:dyDescent="0.2">
      <c r="A1337" s="2">
        <v>10</v>
      </c>
      <c r="B1337" s="1" t="s">
        <v>157</v>
      </c>
      <c r="C1337" s="4">
        <v>234</v>
      </c>
      <c r="D1337" s="8">
        <v>1.59</v>
      </c>
      <c r="E1337" s="4">
        <v>181</v>
      </c>
      <c r="F1337" s="8">
        <v>2.56</v>
      </c>
      <c r="G1337" s="4">
        <v>53</v>
      </c>
      <c r="H1337" s="8">
        <v>0.69</v>
      </c>
      <c r="I1337" s="4">
        <v>0</v>
      </c>
    </row>
    <row r="1338" spans="1:9" x14ac:dyDescent="0.2">
      <c r="A1338" s="2">
        <v>11</v>
      </c>
      <c r="B1338" s="1" t="s">
        <v>202</v>
      </c>
      <c r="C1338" s="4">
        <v>228</v>
      </c>
      <c r="D1338" s="8">
        <v>1.55</v>
      </c>
      <c r="E1338" s="4">
        <v>100</v>
      </c>
      <c r="F1338" s="8">
        <v>1.41</v>
      </c>
      <c r="G1338" s="4">
        <v>128</v>
      </c>
      <c r="H1338" s="8">
        <v>1.67</v>
      </c>
      <c r="I1338" s="4">
        <v>0</v>
      </c>
    </row>
    <row r="1339" spans="1:9" x14ac:dyDescent="0.2">
      <c r="A1339" s="2">
        <v>11</v>
      </c>
      <c r="B1339" s="1" t="s">
        <v>204</v>
      </c>
      <c r="C1339" s="4">
        <v>228</v>
      </c>
      <c r="D1339" s="8">
        <v>1.55</v>
      </c>
      <c r="E1339" s="4">
        <v>88</v>
      </c>
      <c r="F1339" s="8">
        <v>1.24</v>
      </c>
      <c r="G1339" s="4">
        <v>140</v>
      </c>
      <c r="H1339" s="8">
        <v>1.83</v>
      </c>
      <c r="I1339" s="4">
        <v>0</v>
      </c>
    </row>
    <row r="1340" spans="1:9" x14ac:dyDescent="0.2">
      <c r="A1340" s="2">
        <v>11</v>
      </c>
      <c r="B1340" s="1" t="s">
        <v>164</v>
      </c>
      <c r="C1340" s="4">
        <v>228</v>
      </c>
      <c r="D1340" s="8">
        <v>1.55</v>
      </c>
      <c r="E1340" s="4">
        <v>210</v>
      </c>
      <c r="F1340" s="8">
        <v>2.97</v>
      </c>
      <c r="G1340" s="4">
        <v>18</v>
      </c>
      <c r="H1340" s="8">
        <v>0.24</v>
      </c>
      <c r="I1340" s="4">
        <v>0</v>
      </c>
    </row>
    <row r="1341" spans="1:9" x14ac:dyDescent="0.2">
      <c r="A1341" s="2">
        <v>14</v>
      </c>
      <c r="B1341" s="1" t="s">
        <v>162</v>
      </c>
      <c r="C1341" s="4">
        <v>204</v>
      </c>
      <c r="D1341" s="8">
        <v>1.38</v>
      </c>
      <c r="E1341" s="4">
        <v>20</v>
      </c>
      <c r="F1341" s="8">
        <v>0.28000000000000003</v>
      </c>
      <c r="G1341" s="4">
        <v>182</v>
      </c>
      <c r="H1341" s="8">
        <v>2.38</v>
      </c>
      <c r="I1341" s="4">
        <v>2</v>
      </c>
    </row>
    <row r="1342" spans="1:9" x14ac:dyDescent="0.2">
      <c r="A1342" s="2">
        <v>15</v>
      </c>
      <c r="B1342" s="1" t="s">
        <v>232</v>
      </c>
      <c r="C1342" s="4">
        <v>198</v>
      </c>
      <c r="D1342" s="8">
        <v>1.34</v>
      </c>
      <c r="E1342" s="4">
        <v>78</v>
      </c>
      <c r="F1342" s="8">
        <v>1.1000000000000001</v>
      </c>
      <c r="G1342" s="4">
        <v>120</v>
      </c>
      <c r="H1342" s="8">
        <v>1.57</v>
      </c>
      <c r="I1342" s="4">
        <v>0</v>
      </c>
    </row>
    <row r="1343" spans="1:9" x14ac:dyDescent="0.2">
      <c r="A1343" s="2">
        <v>16</v>
      </c>
      <c r="B1343" s="1" t="s">
        <v>153</v>
      </c>
      <c r="C1343" s="4">
        <v>189</v>
      </c>
      <c r="D1343" s="8">
        <v>1.28</v>
      </c>
      <c r="E1343" s="4">
        <v>43</v>
      </c>
      <c r="F1343" s="8">
        <v>0.61</v>
      </c>
      <c r="G1343" s="4">
        <v>146</v>
      </c>
      <c r="H1343" s="8">
        <v>1.91</v>
      </c>
      <c r="I1343" s="4">
        <v>0</v>
      </c>
    </row>
    <row r="1344" spans="1:9" x14ac:dyDescent="0.2">
      <c r="A1344" s="2">
        <v>16</v>
      </c>
      <c r="B1344" s="1" t="s">
        <v>175</v>
      </c>
      <c r="C1344" s="4">
        <v>189</v>
      </c>
      <c r="D1344" s="8">
        <v>1.28</v>
      </c>
      <c r="E1344" s="4">
        <v>75</v>
      </c>
      <c r="F1344" s="8">
        <v>1.06</v>
      </c>
      <c r="G1344" s="4">
        <v>114</v>
      </c>
      <c r="H1344" s="8">
        <v>1.49</v>
      </c>
      <c r="I1344" s="4">
        <v>0</v>
      </c>
    </row>
    <row r="1345" spans="1:9" x14ac:dyDescent="0.2">
      <c r="A1345" s="2">
        <v>18</v>
      </c>
      <c r="B1345" s="1" t="s">
        <v>179</v>
      </c>
      <c r="C1345" s="4">
        <v>183</v>
      </c>
      <c r="D1345" s="8">
        <v>1.24</v>
      </c>
      <c r="E1345" s="4">
        <v>31</v>
      </c>
      <c r="F1345" s="8">
        <v>0.44</v>
      </c>
      <c r="G1345" s="4">
        <v>152</v>
      </c>
      <c r="H1345" s="8">
        <v>1.99</v>
      </c>
      <c r="I1345" s="4">
        <v>0</v>
      </c>
    </row>
    <row r="1346" spans="1:9" x14ac:dyDescent="0.2">
      <c r="A1346" s="2">
        <v>19</v>
      </c>
      <c r="B1346" s="1" t="s">
        <v>166</v>
      </c>
      <c r="C1346" s="4">
        <v>180</v>
      </c>
      <c r="D1346" s="8">
        <v>1.22</v>
      </c>
      <c r="E1346" s="4">
        <v>176</v>
      </c>
      <c r="F1346" s="8">
        <v>2.4900000000000002</v>
      </c>
      <c r="G1346" s="4">
        <v>4</v>
      </c>
      <c r="H1346" s="8">
        <v>0.05</v>
      </c>
      <c r="I1346" s="4">
        <v>0</v>
      </c>
    </row>
    <row r="1347" spans="1:9" x14ac:dyDescent="0.2">
      <c r="A1347" s="2">
        <v>20</v>
      </c>
      <c r="B1347" s="1" t="s">
        <v>161</v>
      </c>
      <c r="C1347" s="4">
        <v>179</v>
      </c>
      <c r="D1347" s="8">
        <v>1.21</v>
      </c>
      <c r="E1347" s="4">
        <v>90</v>
      </c>
      <c r="F1347" s="8">
        <v>1.27</v>
      </c>
      <c r="G1347" s="4">
        <v>88</v>
      </c>
      <c r="H1347" s="8">
        <v>1.1499999999999999</v>
      </c>
      <c r="I1347" s="4">
        <v>1</v>
      </c>
    </row>
    <row r="1348" spans="1:9" x14ac:dyDescent="0.2">
      <c r="A1348" s="1"/>
      <c r="C1348" s="4"/>
      <c r="D1348" s="8"/>
      <c r="E1348" s="4"/>
      <c r="F1348" s="8"/>
      <c r="G1348" s="4"/>
      <c r="H1348" s="8"/>
      <c r="I1348" s="4"/>
    </row>
    <row r="1349" spans="1:9" x14ac:dyDescent="0.2">
      <c r="A1349" s="1" t="s">
        <v>60</v>
      </c>
      <c r="C1349" s="4"/>
      <c r="D1349" s="8"/>
      <c r="E1349" s="4"/>
      <c r="F1349" s="8"/>
      <c r="G1349" s="4"/>
      <c r="H1349" s="8"/>
      <c r="I1349" s="4"/>
    </row>
    <row r="1350" spans="1:9" x14ac:dyDescent="0.2">
      <c r="A1350" s="2">
        <v>1</v>
      </c>
      <c r="B1350" s="1" t="s">
        <v>169</v>
      </c>
      <c r="C1350" s="4">
        <v>57</v>
      </c>
      <c r="D1350" s="8">
        <v>5.22</v>
      </c>
      <c r="E1350" s="4">
        <v>55</v>
      </c>
      <c r="F1350" s="8">
        <v>8.9</v>
      </c>
      <c r="G1350" s="4">
        <v>2</v>
      </c>
      <c r="H1350" s="8">
        <v>0.44</v>
      </c>
      <c r="I1350" s="4">
        <v>0</v>
      </c>
    </row>
    <row r="1351" spans="1:9" x14ac:dyDescent="0.2">
      <c r="A1351" s="2">
        <v>2</v>
      </c>
      <c r="B1351" s="1" t="s">
        <v>160</v>
      </c>
      <c r="C1351" s="4">
        <v>46</v>
      </c>
      <c r="D1351" s="8">
        <v>4.22</v>
      </c>
      <c r="E1351" s="4">
        <v>24</v>
      </c>
      <c r="F1351" s="8">
        <v>3.88</v>
      </c>
      <c r="G1351" s="4">
        <v>22</v>
      </c>
      <c r="H1351" s="8">
        <v>4.8</v>
      </c>
      <c r="I1351" s="4">
        <v>0</v>
      </c>
    </row>
    <row r="1352" spans="1:9" x14ac:dyDescent="0.2">
      <c r="A1352" s="2">
        <v>3</v>
      </c>
      <c r="B1352" s="1" t="s">
        <v>161</v>
      </c>
      <c r="C1352" s="4">
        <v>40</v>
      </c>
      <c r="D1352" s="8">
        <v>3.67</v>
      </c>
      <c r="E1352" s="4">
        <v>36</v>
      </c>
      <c r="F1352" s="8">
        <v>5.83</v>
      </c>
      <c r="G1352" s="4">
        <v>4</v>
      </c>
      <c r="H1352" s="8">
        <v>0.87</v>
      </c>
      <c r="I1352" s="4">
        <v>0</v>
      </c>
    </row>
    <row r="1353" spans="1:9" x14ac:dyDescent="0.2">
      <c r="A1353" s="2">
        <v>4</v>
      </c>
      <c r="B1353" s="1" t="s">
        <v>171</v>
      </c>
      <c r="C1353" s="4">
        <v>35</v>
      </c>
      <c r="D1353" s="8">
        <v>3.21</v>
      </c>
      <c r="E1353" s="4">
        <v>33</v>
      </c>
      <c r="F1353" s="8">
        <v>5.34</v>
      </c>
      <c r="G1353" s="4">
        <v>2</v>
      </c>
      <c r="H1353" s="8">
        <v>0.44</v>
      </c>
      <c r="I1353" s="4">
        <v>0</v>
      </c>
    </row>
    <row r="1354" spans="1:9" x14ac:dyDescent="0.2">
      <c r="A1354" s="2">
        <v>5</v>
      </c>
      <c r="B1354" s="1" t="s">
        <v>215</v>
      </c>
      <c r="C1354" s="4">
        <v>29</v>
      </c>
      <c r="D1354" s="8">
        <v>2.66</v>
      </c>
      <c r="E1354" s="4">
        <v>22</v>
      </c>
      <c r="F1354" s="8">
        <v>3.56</v>
      </c>
      <c r="G1354" s="4">
        <v>7</v>
      </c>
      <c r="H1354" s="8">
        <v>1.53</v>
      </c>
      <c r="I1354" s="4">
        <v>0</v>
      </c>
    </row>
    <row r="1355" spans="1:9" x14ac:dyDescent="0.2">
      <c r="A1355" s="2">
        <v>6</v>
      </c>
      <c r="B1355" s="1" t="s">
        <v>190</v>
      </c>
      <c r="C1355" s="4">
        <v>28</v>
      </c>
      <c r="D1355" s="8">
        <v>2.57</v>
      </c>
      <c r="E1355" s="4">
        <v>5</v>
      </c>
      <c r="F1355" s="8">
        <v>0.81</v>
      </c>
      <c r="G1355" s="4">
        <v>23</v>
      </c>
      <c r="H1355" s="8">
        <v>5.0199999999999996</v>
      </c>
      <c r="I1355" s="4">
        <v>0</v>
      </c>
    </row>
    <row r="1356" spans="1:9" x14ac:dyDescent="0.2">
      <c r="A1356" s="2">
        <v>6</v>
      </c>
      <c r="B1356" s="1" t="s">
        <v>167</v>
      </c>
      <c r="C1356" s="4">
        <v>28</v>
      </c>
      <c r="D1356" s="8">
        <v>2.57</v>
      </c>
      <c r="E1356" s="4">
        <v>26</v>
      </c>
      <c r="F1356" s="8">
        <v>4.21</v>
      </c>
      <c r="G1356" s="4">
        <v>2</v>
      </c>
      <c r="H1356" s="8">
        <v>0.44</v>
      </c>
      <c r="I1356" s="4">
        <v>0</v>
      </c>
    </row>
    <row r="1357" spans="1:9" x14ac:dyDescent="0.2">
      <c r="A1357" s="2">
        <v>8</v>
      </c>
      <c r="B1357" s="1" t="s">
        <v>157</v>
      </c>
      <c r="C1357" s="4">
        <v>26</v>
      </c>
      <c r="D1357" s="8">
        <v>2.38</v>
      </c>
      <c r="E1357" s="4">
        <v>20</v>
      </c>
      <c r="F1357" s="8">
        <v>3.24</v>
      </c>
      <c r="G1357" s="4">
        <v>6</v>
      </c>
      <c r="H1357" s="8">
        <v>1.31</v>
      </c>
      <c r="I1357" s="4">
        <v>0</v>
      </c>
    </row>
    <row r="1358" spans="1:9" x14ac:dyDescent="0.2">
      <c r="A1358" s="2">
        <v>8</v>
      </c>
      <c r="B1358" s="1" t="s">
        <v>168</v>
      </c>
      <c r="C1358" s="4">
        <v>26</v>
      </c>
      <c r="D1358" s="8">
        <v>2.38</v>
      </c>
      <c r="E1358" s="4">
        <v>25</v>
      </c>
      <c r="F1358" s="8">
        <v>4.05</v>
      </c>
      <c r="G1358" s="4">
        <v>1</v>
      </c>
      <c r="H1358" s="8">
        <v>0.22</v>
      </c>
      <c r="I1358" s="4">
        <v>0</v>
      </c>
    </row>
    <row r="1359" spans="1:9" x14ac:dyDescent="0.2">
      <c r="A1359" s="2">
        <v>10</v>
      </c>
      <c r="B1359" s="1" t="s">
        <v>170</v>
      </c>
      <c r="C1359" s="4">
        <v>23</v>
      </c>
      <c r="D1359" s="8">
        <v>2.11</v>
      </c>
      <c r="E1359" s="4">
        <v>20</v>
      </c>
      <c r="F1359" s="8">
        <v>3.24</v>
      </c>
      <c r="G1359" s="4">
        <v>3</v>
      </c>
      <c r="H1359" s="8">
        <v>0.66</v>
      </c>
      <c r="I1359" s="4">
        <v>0</v>
      </c>
    </row>
    <row r="1360" spans="1:9" x14ac:dyDescent="0.2">
      <c r="A1360" s="2">
        <v>11</v>
      </c>
      <c r="B1360" s="1" t="s">
        <v>165</v>
      </c>
      <c r="C1360" s="4">
        <v>21</v>
      </c>
      <c r="D1360" s="8">
        <v>1.92</v>
      </c>
      <c r="E1360" s="4">
        <v>21</v>
      </c>
      <c r="F1360" s="8">
        <v>3.4</v>
      </c>
      <c r="G1360" s="4">
        <v>0</v>
      </c>
      <c r="H1360" s="8">
        <v>0</v>
      </c>
      <c r="I1360" s="4">
        <v>0</v>
      </c>
    </row>
    <row r="1361" spans="1:9" x14ac:dyDescent="0.2">
      <c r="A1361" s="2">
        <v>12</v>
      </c>
      <c r="B1361" s="1" t="s">
        <v>174</v>
      </c>
      <c r="C1361" s="4">
        <v>18</v>
      </c>
      <c r="D1361" s="8">
        <v>1.65</v>
      </c>
      <c r="E1361" s="4">
        <v>4</v>
      </c>
      <c r="F1361" s="8">
        <v>0.65</v>
      </c>
      <c r="G1361" s="4">
        <v>14</v>
      </c>
      <c r="H1361" s="8">
        <v>3.06</v>
      </c>
      <c r="I1361" s="4">
        <v>0</v>
      </c>
    </row>
    <row r="1362" spans="1:9" x14ac:dyDescent="0.2">
      <c r="A1362" s="2">
        <v>12</v>
      </c>
      <c r="B1362" s="1" t="s">
        <v>229</v>
      </c>
      <c r="C1362" s="4">
        <v>18</v>
      </c>
      <c r="D1362" s="8">
        <v>1.65</v>
      </c>
      <c r="E1362" s="4">
        <v>12</v>
      </c>
      <c r="F1362" s="8">
        <v>1.94</v>
      </c>
      <c r="G1362" s="4">
        <v>6</v>
      </c>
      <c r="H1362" s="8">
        <v>1.31</v>
      </c>
      <c r="I1362" s="4">
        <v>0</v>
      </c>
    </row>
    <row r="1363" spans="1:9" x14ac:dyDescent="0.2">
      <c r="A1363" s="2">
        <v>14</v>
      </c>
      <c r="B1363" s="1" t="s">
        <v>156</v>
      </c>
      <c r="C1363" s="4">
        <v>17</v>
      </c>
      <c r="D1363" s="8">
        <v>1.56</v>
      </c>
      <c r="E1363" s="4">
        <v>13</v>
      </c>
      <c r="F1363" s="8">
        <v>2.1</v>
      </c>
      <c r="G1363" s="4">
        <v>4</v>
      </c>
      <c r="H1363" s="8">
        <v>0.87</v>
      </c>
      <c r="I1363" s="4">
        <v>0</v>
      </c>
    </row>
    <row r="1364" spans="1:9" x14ac:dyDescent="0.2">
      <c r="A1364" s="2">
        <v>15</v>
      </c>
      <c r="B1364" s="1" t="s">
        <v>153</v>
      </c>
      <c r="C1364" s="4">
        <v>16</v>
      </c>
      <c r="D1364" s="8">
        <v>1.47</v>
      </c>
      <c r="E1364" s="4">
        <v>5</v>
      </c>
      <c r="F1364" s="8">
        <v>0.81</v>
      </c>
      <c r="G1364" s="4">
        <v>11</v>
      </c>
      <c r="H1364" s="8">
        <v>2.4</v>
      </c>
      <c r="I1364" s="4">
        <v>0</v>
      </c>
    </row>
    <row r="1365" spans="1:9" x14ac:dyDescent="0.2">
      <c r="A1365" s="2">
        <v>15</v>
      </c>
      <c r="B1365" s="1" t="s">
        <v>199</v>
      </c>
      <c r="C1365" s="4">
        <v>16</v>
      </c>
      <c r="D1365" s="8">
        <v>1.47</v>
      </c>
      <c r="E1365" s="4">
        <v>14</v>
      </c>
      <c r="F1365" s="8">
        <v>2.27</v>
      </c>
      <c r="G1365" s="4">
        <v>2</v>
      </c>
      <c r="H1365" s="8">
        <v>0.44</v>
      </c>
      <c r="I1365" s="4">
        <v>0</v>
      </c>
    </row>
    <row r="1366" spans="1:9" x14ac:dyDescent="0.2">
      <c r="A1366" s="2">
        <v>17</v>
      </c>
      <c r="B1366" s="1" t="s">
        <v>235</v>
      </c>
      <c r="C1366" s="4">
        <v>15</v>
      </c>
      <c r="D1366" s="8">
        <v>1.37</v>
      </c>
      <c r="E1366" s="4">
        <v>7</v>
      </c>
      <c r="F1366" s="8">
        <v>1.1299999999999999</v>
      </c>
      <c r="G1366" s="4">
        <v>8</v>
      </c>
      <c r="H1366" s="8">
        <v>1.75</v>
      </c>
      <c r="I1366" s="4">
        <v>0</v>
      </c>
    </row>
    <row r="1367" spans="1:9" x14ac:dyDescent="0.2">
      <c r="A1367" s="2">
        <v>18</v>
      </c>
      <c r="B1367" s="1" t="s">
        <v>224</v>
      </c>
      <c r="C1367" s="4">
        <v>14</v>
      </c>
      <c r="D1367" s="8">
        <v>1.28</v>
      </c>
      <c r="E1367" s="4">
        <v>5</v>
      </c>
      <c r="F1367" s="8">
        <v>0.81</v>
      </c>
      <c r="G1367" s="4">
        <v>9</v>
      </c>
      <c r="H1367" s="8">
        <v>1.97</v>
      </c>
      <c r="I1367" s="4">
        <v>0</v>
      </c>
    </row>
    <row r="1368" spans="1:9" x14ac:dyDescent="0.2">
      <c r="A1368" s="2">
        <v>18</v>
      </c>
      <c r="B1368" s="1" t="s">
        <v>194</v>
      </c>
      <c r="C1368" s="4">
        <v>14</v>
      </c>
      <c r="D1368" s="8">
        <v>1.28</v>
      </c>
      <c r="E1368" s="4">
        <v>12</v>
      </c>
      <c r="F1368" s="8">
        <v>1.94</v>
      </c>
      <c r="G1368" s="4">
        <v>2</v>
      </c>
      <c r="H1368" s="8">
        <v>0.44</v>
      </c>
      <c r="I1368" s="4">
        <v>0</v>
      </c>
    </row>
    <row r="1369" spans="1:9" x14ac:dyDescent="0.2">
      <c r="A1369" s="2">
        <v>20</v>
      </c>
      <c r="B1369" s="1" t="s">
        <v>210</v>
      </c>
      <c r="C1369" s="4">
        <v>13</v>
      </c>
      <c r="D1369" s="8">
        <v>1.19</v>
      </c>
      <c r="E1369" s="4">
        <v>5</v>
      </c>
      <c r="F1369" s="8">
        <v>0.81</v>
      </c>
      <c r="G1369" s="4">
        <v>8</v>
      </c>
      <c r="H1369" s="8">
        <v>1.75</v>
      </c>
      <c r="I1369" s="4">
        <v>0</v>
      </c>
    </row>
    <row r="1370" spans="1:9" x14ac:dyDescent="0.2">
      <c r="A1370" s="2">
        <v>20</v>
      </c>
      <c r="B1370" s="1" t="s">
        <v>198</v>
      </c>
      <c r="C1370" s="4">
        <v>13</v>
      </c>
      <c r="D1370" s="8">
        <v>1.19</v>
      </c>
      <c r="E1370" s="4">
        <v>11</v>
      </c>
      <c r="F1370" s="8">
        <v>1.78</v>
      </c>
      <c r="G1370" s="4">
        <v>2</v>
      </c>
      <c r="H1370" s="8">
        <v>0.44</v>
      </c>
      <c r="I1370" s="4">
        <v>0</v>
      </c>
    </row>
    <row r="1371" spans="1:9" x14ac:dyDescent="0.2">
      <c r="A1371" s="1"/>
      <c r="C1371" s="4"/>
      <c r="D1371" s="8"/>
      <c r="E1371" s="4"/>
      <c r="F1371" s="8"/>
      <c r="G1371" s="4"/>
      <c r="H1371" s="8"/>
      <c r="I1371" s="4"/>
    </row>
    <row r="1372" spans="1:9" x14ac:dyDescent="0.2">
      <c r="A1372" s="1" t="s">
        <v>61</v>
      </c>
      <c r="C1372" s="4"/>
      <c r="D1372" s="8"/>
      <c r="E1372" s="4"/>
      <c r="F1372" s="8"/>
      <c r="G1372" s="4"/>
      <c r="H1372" s="8"/>
      <c r="I1372" s="4"/>
    </row>
    <row r="1373" spans="1:9" x14ac:dyDescent="0.2">
      <c r="A1373" s="2">
        <v>1</v>
      </c>
      <c r="B1373" s="1" t="s">
        <v>160</v>
      </c>
      <c r="C1373" s="4">
        <v>105</v>
      </c>
      <c r="D1373" s="8">
        <v>9.2100000000000009</v>
      </c>
      <c r="E1373" s="4">
        <v>67</v>
      </c>
      <c r="F1373" s="8">
        <v>10.65</v>
      </c>
      <c r="G1373" s="4">
        <v>38</v>
      </c>
      <c r="H1373" s="8">
        <v>7.52</v>
      </c>
      <c r="I1373" s="4">
        <v>0</v>
      </c>
    </row>
    <row r="1374" spans="1:9" x14ac:dyDescent="0.2">
      <c r="A1374" s="2">
        <v>2</v>
      </c>
      <c r="B1374" s="1" t="s">
        <v>169</v>
      </c>
      <c r="C1374" s="4">
        <v>61</v>
      </c>
      <c r="D1374" s="8">
        <v>5.35</v>
      </c>
      <c r="E1374" s="4">
        <v>57</v>
      </c>
      <c r="F1374" s="8">
        <v>9.06</v>
      </c>
      <c r="G1374" s="4">
        <v>4</v>
      </c>
      <c r="H1374" s="8">
        <v>0.79</v>
      </c>
      <c r="I1374" s="4">
        <v>0</v>
      </c>
    </row>
    <row r="1375" spans="1:9" x14ac:dyDescent="0.2">
      <c r="A1375" s="2">
        <v>3</v>
      </c>
      <c r="B1375" s="1" t="s">
        <v>161</v>
      </c>
      <c r="C1375" s="4">
        <v>55</v>
      </c>
      <c r="D1375" s="8">
        <v>4.82</v>
      </c>
      <c r="E1375" s="4">
        <v>51</v>
      </c>
      <c r="F1375" s="8">
        <v>8.11</v>
      </c>
      <c r="G1375" s="4">
        <v>4</v>
      </c>
      <c r="H1375" s="8">
        <v>0.79</v>
      </c>
      <c r="I1375" s="4">
        <v>0</v>
      </c>
    </row>
    <row r="1376" spans="1:9" x14ac:dyDescent="0.2">
      <c r="A1376" s="2">
        <v>4</v>
      </c>
      <c r="B1376" s="1" t="s">
        <v>165</v>
      </c>
      <c r="C1376" s="4">
        <v>35</v>
      </c>
      <c r="D1376" s="8">
        <v>3.07</v>
      </c>
      <c r="E1376" s="4">
        <v>35</v>
      </c>
      <c r="F1376" s="8">
        <v>5.56</v>
      </c>
      <c r="G1376" s="4">
        <v>0</v>
      </c>
      <c r="H1376" s="8">
        <v>0</v>
      </c>
      <c r="I1376" s="4">
        <v>0</v>
      </c>
    </row>
    <row r="1377" spans="1:9" x14ac:dyDescent="0.2">
      <c r="A1377" s="2">
        <v>5</v>
      </c>
      <c r="B1377" s="1" t="s">
        <v>159</v>
      </c>
      <c r="C1377" s="4">
        <v>33</v>
      </c>
      <c r="D1377" s="8">
        <v>2.89</v>
      </c>
      <c r="E1377" s="4">
        <v>16</v>
      </c>
      <c r="F1377" s="8">
        <v>2.54</v>
      </c>
      <c r="G1377" s="4">
        <v>17</v>
      </c>
      <c r="H1377" s="8">
        <v>3.37</v>
      </c>
      <c r="I1377" s="4">
        <v>0</v>
      </c>
    </row>
    <row r="1378" spans="1:9" x14ac:dyDescent="0.2">
      <c r="A1378" s="2">
        <v>6</v>
      </c>
      <c r="B1378" s="1" t="s">
        <v>170</v>
      </c>
      <c r="C1378" s="4">
        <v>30</v>
      </c>
      <c r="D1378" s="8">
        <v>2.63</v>
      </c>
      <c r="E1378" s="4">
        <v>22</v>
      </c>
      <c r="F1378" s="8">
        <v>3.5</v>
      </c>
      <c r="G1378" s="4">
        <v>8</v>
      </c>
      <c r="H1378" s="8">
        <v>1.58</v>
      </c>
      <c r="I1378" s="4">
        <v>0</v>
      </c>
    </row>
    <row r="1379" spans="1:9" x14ac:dyDescent="0.2">
      <c r="A1379" s="2">
        <v>7</v>
      </c>
      <c r="B1379" s="1" t="s">
        <v>157</v>
      </c>
      <c r="C1379" s="4">
        <v>27</v>
      </c>
      <c r="D1379" s="8">
        <v>2.37</v>
      </c>
      <c r="E1379" s="4">
        <v>18</v>
      </c>
      <c r="F1379" s="8">
        <v>2.86</v>
      </c>
      <c r="G1379" s="4">
        <v>9</v>
      </c>
      <c r="H1379" s="8">
        <v>1.78</v>
      </c>
      <c r="I1379" s="4">
        <v>0</v>
      </c>
    </row>
    <row r="1380" spans="1:9" x14ac:dyDescent="0.2">
      <c r="A1380" s="2">
        <v>8</v>
      </c>
      <c r="B1380" s="1" t="s">
        <v>171</v>
      </c>
      <c r="C1380" s="4">
        <v>24</v>
      </c>
      <c r="D1380" s="8">
        <v>2.11</v>
      </c>
      <c r="E1380" s="4">
        <v>18</v>
      </c>
      <c r="F1380" s="8">
        <v>2.86</v>
      </c>
      <c r="G1380" s="4">
        <v>6</v>
      </c>
      <c r="H1380" s="8">
        <v>1.19</v>
      </c>
      <c r="I1380" s="4">
        <v>0</v>
      </c>
    </row>
    <row r="1381" spans="1:9" x14ac:dyDescent="0.2">
      <c r="A1381" s="2">
        <v>9</v>
      </c>
      <c r="B1381" s="1" t="s">
        <v>167</v>
      </c>
      <c r="C1381" s="4">
        <v>23</v>
      </c>
      <c r="D1381" s="8">
        <v>2.02</v>
      </c>
      <c r="E1381" s="4">
        <v>23</v>
      </c>
      <c r="F1381" s="8">
        <v>3.66</v>
      </c>
      <c r="G1381" s="4">
        <v>0</v>
      </c>
      <c r="H1381" s="8">
        <v>0</v>
      </c>
      <c r="I1381" s="4">
        <v>0</v>
      </c>
    </row>
    <row r="1382" spans="1:9" x14ac:dyDescent="0.2">
      <c r="A1382" s="2">
        <v>10</v>
      </c>
      <c r="B1382" s="1" t="s">
        <v>210</v>
      </c>
      <c r="C1382" s="4">
        <v>22</v>
      </c>
      <c r="D1382" s="8">
        <v>1.93</v>
      </c>
      <c r="E1382" s="4">
        <v>4</v>
      </c>
      <c r="F1382" s="8">
        <v>0.64</v>
      </c>
      <c r="G1382" s="4">
        <v>18</v>
      </c>
      <c r="H1382" s="8">
        <v>3.56</v>
      </c>
      <c r="I1382" s="4">
        <v>0</v>
      </c>
    </row>
    <row r="1383" spans="1:9" x14ac:dyDescent="0.2">
      <c r="A1383" s="2">
        <v>10</v>
      </c>
      <c r="B1383" s="1" t="s">
        <v>168</v>
      </c>
      <c r="C1383" s="4">
        <v>22</v>
      </c>
      <c r="D1383" s="8">
        <v>1.93</v>
      </c>
      <c r="E1383" s="4">
        <v>21</v>
      </c>
      <c r="F1383" s="8">
        <v>3.34</v>
      </c>
      <c r="G1383" s="4">
        <v>1</v>
      </c>
      <c r="H1383" s="8">
        <v>0.2</v>
      </c>
      <c r="I1383" s="4">
        <v>0</v>
      </c>
    </row>
    <row r="1384" spans="1:9" x14ac:dyDescent="0.2">
      <c r="A1384" s="2">
        <v>12</v>
      </c>
      <c r="B1384" s="1" t="s">
        <v>190</v>
      </c>
      <c r="C1384" s="4">
        <v>20</v>
      </c>
      <c r="D1384" s="8">
        <v>1.75</v>
      </c>
      <c r="E1384" s="4">
        <v>3</v>
      </c>
      <c r="F1384" s="8">
        <v>0.48</v>
      </c>
      <c r="G1384" s="4">
        <v>17</v>
      </c>
      <c r="H1384" s="8">
        <v>3.37</v>
      </c>
      <c r="I1384" s="4">
        <v>0</v>
      </c>
    </row>
    <row r="1385" spans="1:9" x14ac:dyDescent="0.2">
      <c r="A1385" s="2">
        <v>12</v>
      </c>
      <c r="B1385" s="1" t="s">
        <v>152</v>
      </c>
      <c r="C1385" s="4">
        <v>20</v>
      </c>
      <c r="D1385" s="8">
        <v>1.75</v>
      </c>
      <c r="E1385" s="4">
        <v>3</v>
      </c>
      <c r="F1385" s="8">
        <v>0.48</v>
      </c>
      <c r="G1385" s="4">
        <v>17</v>
      </c>
      <c r="H1385" s="8">
        <v>3.37</v>
      </c>
      <c r="I1385" s="4">
        <v>0</v>
      </c>
    </row>
    <row r="1386" spans="1:9" x14ac:dyDescent="0.2">
      <c r="A1386" s="2">
        <v>14</v>
      </c>
      <c r="B1386" s="1" t="s">
        <v>166</v>
      </c>
      <c r="C1386" s="4">
        <v>19</v>
      </c>
      <c r="D1386" s="8">
        <v>1.67</v>
      </c>
      <c r="E1386" s="4">
        <v>19</v>
      </c>
      <c r="F1386" s="8">
        <v>3.02</v>
      </c>
      <c r="G1386" s="4">
        <v>0</v>
      </c>
      <c r="H1386" s="8">
        <v>0</v>
      </c>
      <c r="I1386" s="4">
        <v>0</v>
      </c>
    </row>
    <row r="1387" spans="1:9" x14ac:dyDescent="0.2">
      <c r="A1387" s="2">
        <v>15</v>
      </c>
      <c r="B1387" s="1" t="s">
        <v>199</v>
      </c>
      <c r="C1387" s="4">
        <v>17</v>
      </c>
      <c r="D1387" s="8">
        <v>1.49</v>
      </c>
      <c r="E1387" s="4">
        <v>12</v>
      </c>
      <c r="F1387" s="8">
        <v>1.91</v>
      </c>
      <c r="G1387" s="4">
        <v>5</v>
      </c>
      <c r="H1387" s="8">
        <v>0.99</v>
      </c>
      <c r="I1387" s="4">
        <v>0</v>
      </c>
    </row>
    <row r="1388" spans="1:9" x14ac:dyDescent="0.2">
      <c r="A1388" s="2">
        <v>16</v>
      </c>
      <c r="B1388" s="1" t="s">
        <v>153</v>
      </c>
      <c r="C1388" s="4">
        <v>15</v>
      </c>
      <c r="D1388" s="8">
        <v>1.32</v>
      </c>
      <c r="E1388" s="4">
        <v>5</v>
      </c>
      <c r="F1388" s="8">
        <v>0.79</v>
      </c>
      <c r="G1388" s="4">
        <v>10</v>
      </c>
      <c r="H1388" s="8">
        <v>1.98</v>
      </c>
      <c r="I1388" s="4">
        <v>0</v>
      </c>
    </row>
    <row r="1389" spans="1:9" x14ac:dyDescent="0.2">
      <c r="A1389" s="2">
        <v>16</v>
      </c>
      <c r="B1389" s="1" t="s">
        <v>174</v>
      </c>
      <c r="C1389" s="4">
        <v>15</v>
      </c>
      <c r="D1389" s="8">
        <v>1.32</v>
      </c>
      <c r="E1389" s="4">
        <v>5</v>
      </c>
      <c r="F1389" s="8">
        <v>0.79</v>
      </c>
      <c r="G1389" s="4">
        <v>10</v>
      </c>
      <c r="H1389" s="8">
        <v>1.98</v>
      </c>
      <c r="I1389" s="4">
        <v>0</v>
      </c>
    </row>
    <row r="1390" spans="1:9" x14ac:dyDescent="0.2">
      <c r="A1390" s="2">
        <v>16</v>
      </c>
      <c r="B1390" s="1" t="s">
        <v>196</v>
      </c>
      <c r="C1390" s="4">
        <v>15</v>
      </c>
      <c r="D1390" s="8">
        <v>1.32</v>
      </c>
      <c r="E1390" s="4">
        <v>7</v>
      </c>
      <c r="F1390" s="8">
        <v>1.1100000000000001</v>
      </c>
      <c r="G1390" s="4">
        <v>8</v>
      </c>
      <c r="H1390" s="8">
        <v>1.58</v>
      </c>
      <c r="I1390" s="4">
        <v>0</v>
      </c>
    </row>
    <row r="1391" spans="1:9" x14ac:dyDescent="0.2">
      <c r="A1391" s="2">
        <v>19</v>
      </c>
      <c r="B1391" s="1" t="s">
        <v>156</v>
      </c>
      <c r="C1391" s="4">
        <v>14</v>
      </c>
      <c r="D1391" s="8">
        <v>1.23</v>
      </c>
      <c r="E1391" s="4">
        <v>11</v>
      </c>
      <c r="F1391" s="8">
        <v>1.75</v>
      </c>
      <c r="G1391" s="4">
        <v>3</v>
      </c>
      <c r="H1391" s="8">
        <v>0.59</v>
      </c>
      <c r="I1391" s="4">
        <v>0</v>
      </c>
    </row>
    <row r="1392" spans="1:9" x14ac:dyDescent="0.2">
      <c r="A1392" s="2">
        <v>19</v>
      </c>
      <c r="B1392" s="1" t="s">
        <v>164</v>
      </c>
      <c r="C1392" s="4">
        <v>14</v>
      </c>
      <c r="D1392" s="8">
        <v>1.23</v>
      </c>
      <c r="E1392" s="4">
        <v>13</v>
      </c>
      <c r="F1392" s="8">
        <v>2.0699999999999998</v>
      </c>
      <c r="G1392" s="4">
        <v>1</v>
      </c>
      <c r="H1392" s="8">
        <v>0.2</v>
      </c>
      <c r="I1392" s="4">
        <v>0</v>
      </c>
    </row>
    <row r="1393" spans="1:9" x14ac:dyDescent="0.2">
      <c r="A1393" s="1"/>
      <c r="C1393" s="4"/>
      <c r="D1393" s="8"/>
      <c r="E1393" s="4"/>
      <c r="F1393" s="8"/>
      <c r="G1393" s="4"/>
      <c r="H1393" s="8"/>
      <c r="I1393" s="4"/>
    </row>
    <row r="1394" spans="1:9" x14ac:dyDescent="0.2">
      <c r="A1394" s="1" t="s">
        <v>62</v>
      </c>
      <c r="C1394" s="4"/>
      <c r="D1394" s="8"/>
      <c r="E1394" s="4"/>
      <c r="F1394" s="8"/>
      <c r="G1394" s="4"/>
      <c r="H1394" s="8"/>
      <c r="I1394" s="4"/>
    </row>
    <row r="1395" spans="1:9" x14ac:dyDescent="0.2">
      <c r="A1395" s="2">
        <v>1</v>
      </c>
      <c r="B1395" s="1" t="s">
        <v>169</v>
      </c>
      <c r="C1395" s="4">
        <v>62</v>
      </c>
      <c r="D1395" s="8">
        <v>5.44</v>
      </c>
      <c r="E1395" s="4">
        <v>58</v>
      </c>
      <c r="F1395" s="8">
        <v>9.59</v>
      </c>
      <c r="G1395" s="4">
        <v>4</v>
      </c>
      <c r="H1395" s="8">
        <v>0.76</v>
      </c>
      <c r="I1395" s="4">
        <v>0</v>
      </c>
    </row>
    <row r="1396" spans="1:9" x14ac:dyDescent="0.2">
      <c r="A1396" s="2">
        <v>2</v>
      </c>
      <c r="B1396" s="1" t="s">
        <v>170</v>
      </c>
      <c r="C1396" s="4">
        <v>59</v>
      </c>
      <c r="D1396" s="8">
        <v>5.18</v>
      </c>
      <c r="E1396" s="4">
        <v>49</v>
      </c>
      <c r="F1396" s="8">
        <v>8.1</v>
      </c>
      <c r="G1396" s="4">
        <v>10</v>
      </c>
      <c r="H1396" s="8">
        <v>1.89</v>
      </c>
      <c r="I1396" s="4">
        <v>0</v>
      </c>
    </row>
    <row r="1397" spans="1:9" x14ac:dyDescent="0.2">
      <c r="A1397" s="2">
        <v>3</v>
      </c>
      <c r="B1397" s="1" t="s">
        <v>171</v>
      </c>
      <c r="C1397" s="4">
        <v>48</v>
      </c>
      <c r="D1397" s="8">
        <v>4.21</v>
      </c>
      <c r="E1397" s="4">
        <v>45</v>
      </c>
      <c r="F1397" s="8">
        <v>7.44</v>
      </c>
      <c r="G1397" s="4">
        <v>3</v>
      </c>
      <c r="H1397" s="8">
        <v>0.56999999999999995</v>
      </c>
      <c r="I1397" s="4">
        <v>0</v>
      </c>
    </row>
    <row r="1398" spans="1:9" x14ac:dyDescent="0.2">
      <c r="A1398" s="2">
        <v>4</v>
      </c>
      <c r="B1398" s="1" t="s">
        <v>160</v>
      </c>
      <c r="C1398" s="4">
        <v>37</v>
      </c>
      <c r="D1398" s="8">
        <v>3.25</v>
      </c>
      <c r="E1398" s="4">
        <v>9</v>
      </c>
      <c r="F1398" s="8">
        <v>1.49</v>
      </c>
      <c r="G1398" s="4">
        <v>28</v>
      </c>
      <c r="H1398" s="8">
        <v>5.3</v>
      </c>
      <c r="I1398" s="4">
        <v>0</v>
      </c>
    </row>
    <row r="1399" spans="1:9" x14ac:dyDescent="0.2">
      <c r="A1399" s="2">
        <v>5</v>
      </c>
      <c r="B1399" s="1" t="s">
        <v>157</v>
      </c>
      <c r="C1399" s="4">
        <v>30</v>
      </c>
      <c r="D1399" s="8">
        <v>2.63</v>
      </c>
      <c r="E1399" s="4">
        <v>21</v>
      </c>
      <c r="F1399" s="8">
        <v>3.47</v>
      </c>
      <c r="G1399" s="4">
        <v>9</v>
      </c>
      <c r="H1399" s="8">
        <v>1.7</v>
      </c>
      <c r="I1399" s="4">
        <v>0</v>
      </c>
    </row>
    <row r="1400" spans="1:9" x14ac:dyDescent="0.2">
      <c r="A1400" s="2">
        <v>6</v>
      </c>
      <c r="B1400" s="1" t="s">
        <v>153</v>
      </c>
      <c r="C1400" s="4">
        <v>28</v>
      </c>
      <c r="D1400" s="8">
        <v>2.46</v>
      </c>
      <c r="E1400" s="4">
        <v>5</v>
      </c>
      <c r="F1400" s="8">
        <v>0.83</v>
      </c>
      <c r="G1400" s="4">
        <v>23</v>
      </c>
      <c r="H1400" s="8">
        <v>4.3600000000000003</v>
      </c>
      <c r="I1400" s="4">
        <v>0</v>
      </c>
    </row>
    <row r="1401" spans="1:9" x14ac:dyDescent="0.2">
      <c r="A1401" s="2">
        <v>7</v>
      </c>
      <c r="B1401" s="1" t="s">
        <v>167</v>
      </c>
      <c r="C1401" s="4">
        <v>27</v>
      </c>
      <c r="D1401" s="8">
        <v>2.37</v>
      </c>
      <c r="E1401" s="4">
        <v>23</v>
      </c>
      <c r="F1401" s="8">
        <v>3.8</v>
      </c>
      <c r="G1401" s="4">
        <v>4</v>
      </c>
      <c r="H1401" s="8">
        <v>0.76</v>
      </c>
      <c r="I1401" s="4">
        <v>0</v>
      </c>
    </row>
    <row r="1402" spans="1:9" x14ac:dyDescent="0.2">
      <c r="A1402" s="2">
        <v>8</v>
      </c>
      <c r="B1402" s="1" t="s">
        <v>190</v>
      </c>
      <c r="C1402" s="4">
        <v>26</v>
      </c>
      <c r="D1402" s="8">
        <v>2.2799999999999998</v>
      </c>
      <c r="E1402" s="4">
        <v>4</v>
      </c>
      <c r="F1402" s="8">
        <v>0.66</v>
      </c>
      <c r="G1402" s="4">
        <v>22</v>
      </c>
      <c r="H1402" s="8">
        <v>4.17</v>
      </c>
      <c r="I1402" s="4">
        <v>0</v>
      </c>
    </row>
    <row r="1403" spans="1:9" x14ac:dyDescent="0.2">
      <c r="A1403" s="2">
        <v>9</v>
      </c>
      <c r="B1403" s="1" t="s">
        <v>168</v>
      </c>
      <c r="C1403" s="4">
        <v>25</v>
      </c>
      <c r="D1403" s="8">
        <v>2.19</v>
      </c>
      <c r="E1403" s="4">
        <v>25</v>
      </c>
      <c r="F1403" s="8">
        <v>4.13</v>
      </c>
      <c r="G1403" s="4">
        <v>0</v>
      </c>
      <c r="H1403" s="8">
        <v>0</v>
      </c>
      <c r="I1403" s="4">
        <v>0</v>
      </c>
    </row>
    <row r="1404" spans="1:9" x14ac:dyDescent="0.2">
      <c r="A1404" s="2">
        <v>10</v>
      </c>
      <c r="B1404" s="1" t="s">
        <v>199</v>
      </c>
      <c r="C1404" s="4">
        <v>24</v>
      </c>
      <c r="D1404" s="8">
        <v>2.11</v>
      </c>
      <c r="E1404" s="4">
        <v>16</v>
      </c>
      <c r="F1404" s="8">
        <v>2.64</v>
      </c>
      <c r="G1404" s="4">
        <v>8</v>
      </c>
      <c r="H1404" s="8">
        <v>1.52</v>
      </c>
      <c r="I1404" s="4">
        <v>0</v>
      </c>
    </row>
    <row r="1405" spans="1:9" x14ac:dyDescent="0.2">
      <c r="A1405" s="2">
        <v>11</v>
      </c>
      <c r="B1405" s="1" t="s">
        <v>215</v>
      </c>
      <c r="C1405" s="4">
        <v>22</v>
      </c>
      <c r="D1405" s="8">
        <v>1.93</v>
      </c>
      <c r="E1405" s="4">
        <v>16</v>
      </c>
      <c r="F1405" s="8">
        <v>2.64</v>
      </c>
      <c r="G1405" s="4">
        <v>6</v>
      </c>
      <c r="H1405" s="8">
        <v>1.1399999999999999</v>
      </c>
      <c r="I1405" s="4">
        <v>0</v>
      </c>
    </row>
    <row r="1406" spans="1:9" x14ac:dyDescent="0.2">
      <c r="A1406" s="2">
        <v>12</v>
      </c>
      <c r="B1406" s="1" t="s">
        <v>165</v>
      </c>
      <c r="C1406" s="4">
        <v>21</v>
      </c>
      <c r="D1406" s="8">
        <v>1.84</v>
      </c>
      <c r="E1406" s="4">
        <v>19</v>
      </c>
      <c r="F1406" s="8">
        <v>3.14</v>
      </c>
      <c r="G1406" s="4">
        <v>2</v>
      </c>
      <c r="H1406" s="8">
        <v>0.38</v>
      </c>
      <c r="I1406" s="4">
        <v>0</v>
      </c>
    </row>
    <row r="1407" spans="1:9" x14ac:dyDescent="0.2">
      <c r="A1407" s="2">
        <v>13</v>
      </c>
      <c r="B1407" s="1" t="s">
        <v>152</v>
      </c>
      <c r="C1407" s="4">
        <v>19</v>
      </c>
      <c r="D1407" s="8">
        <v>1.67</v>
      </c>
      <c r="E1407" s="4">
        <v>7</v>
      </c>
      <c r="F1407" s="8">
        <v>1.1599999999999999</v>
      </c>
      <c r="G1407" s="4">
        <v>12</v>
      </c>
      <c r="H1407" s="8">
        <v>2.27</v>
      </c>
      <c r="I1407" s="4">
        <v>0</v>
      </c>
    </row>
    <row r="1408" spans="1:9" x14ac:dyDescent="0.2">
      <c r="A1408" s="2">
        <v>13</v>
      </c>
      <c r="B1408" s="1" t="s">
        <v>174</v>
      </c>
      <c r="C1408" s="4">
        <v>19</v>
      </c>
      <c r="D1408" s="8">
        <v>1.67</v>
      </c>
      <c r="E1408" s="4">
        <v>6</v>
      </c>
      <c r="F1408" s="8">
        <v>0.99</v>
      </c>
      <c r="G1408" s="4">
        <v>13</v>
      </c>
      <c r="H1408" s="8">
        <v>2.46</v>
      </c>
      <c r="I1408" s="4">
        <v>0</v>
      </c>
    </row>
    <row r="1409" spans="1:9" x14ac:dyDescent="0.2">
      <c r="A1409" s="2">
        <v>15</v>
      </c>
      <c r="B1409" s="1" t="s">
        <v>161</v>
      </c>
      <c r="C1409" s="4">
        <v>18</v>
      </c>
      <c r="D1409" s="8">
        <v>1.58</v>
      </c>
      <c r="E1409" s="4">
        <v>12</v>
      </c>
      <c r="F1409" s="8">
        <v>1.98</v>
      </c>
      <c r="G1409" s="4">
        <v>6</v>
      </c>
      <c r="H1409" s="8">
        <v>1.1399999999999999</v>
      </c>
      <c r="I1409" s="4">
        <v>0</v>
      </c>
    </row>
    <row r="1410" spans="1:9" x14ac:dyDescent="0.2">
      <c r="A1410" s="2">
        <v>16</v>
      </c>
      <c r="B1410" s="1" t="s">
        <v>159</v>
      </c>
      <c r="C1410" s="4">
        <v>17</v>
      </c>
      <c r="D1410" s="8">
        <v>1.49</v>
      </c>
      <c r="E1410" s="4">
        <v>3</v>
      </c>
      <c r="F1410" s="8">
        <v>0.5</v>
      </c>
      <c r="G1410" s="4">
        <v>14</v>
      </c>
      <c r="H1410" s="8">
        <v>2.65</v>
      </c>
      <c r="I1410" s="4">
        <v>0</v>
      </c>
    </row>
    <row r="1411" spans="1:9" x14ac:dyDescent="0.2">
      <c r="A1411" s="2">
        <v>16</v>
      </c>
      <c r="B1411" s="1" t="s">
        <v>162</v>
      </c>
      <c r="C1411" s="4">
        <v>17</v>
      </c>
      <c r="D1411" s="8">
        <v>1.49</v>
      </c>
      <c r="E1411" s="4">
        <v>0</v>
      </c>
      <c r="F1411" s="8">
        <v>0</v>
      </c>
      <c r="G1411" s="4">
        <v>17</v>
      </c>
      <c r="H1411" s="8">
        <v>3.22</v>
      </c>
      <c r="I1411" s="4">
        <v>0</v>
      </c>
    </row>
    <row r="1412" spans="1:9" x14ac:dyDescent="0.2">
      <c r="A1412" s="2">
        <v>18</v>
      </c>
      <c r="B1412" s="1" t="s">
        <v>198</v>
      </c>
      <c r="C1412" s="4">
        <v>15</v>
      </c>
      <c r="D1412" s="8">
        <v>1.32</v>
      </c>
      <c r="E1412" s="4">
        <v>12</v>
      </c>
      <c r="F1412" s="8">
        <v>1.98</v>
      </c>
      <c r="G1412" s="4">
        <v>3</v>
      </c>
      <c r="H1412" s="8">
        <v>0.56999999999999995</v>
      </c>
      <c r="I1412" s="4">
        <v>0</v>
      </c>
    </row>
    <row r="1413" spans="1:9" x14ac:dyDescent="0.2">
      <c r="A1413" s="2">
        <v>19</v>
      </c>
      <c r="B1413" s="1" t="s">
        <v>224</v>
      </c>
      <c r="C1413" s="4">
        <v>14</v>
      </c>
      <c r="D1413" s="8">
        <v>1.23</v>
      </c>
      <c r="E1413" s="4">
        <v>4</v>
      </c>
      <c r="F1413" s="8">
        <v>0.66</v>
      </c>
      <c r="G1413" s="4">
        <v>10</v>
      </c>
      <c r="H1413" s="8">
        <v>1.89</v>
      </c>
      <c r="I1413" s="4">
        <v>0</v>
      </c>
    </row>
    <row r="1414" spans="1:9" x14ac:dyDescent="0.2">
      <c r="A1414" s="2">
        <v>19</v>
      </c>
      <c r="B1414" s="1" t="s">
        <v>195</v>
      </c>
      <c r="C1414" s="4">
        <v>14</v>
      </c>
      <c r="D1414" s="8">
        <v>1.23</v>
      </c>
      <c r="E1414" s="4">
        <v>7</v>
      </c>
      <c r="F1414" s="8">
        <v>1.1599999999999999</v>
      </c>
      <c r="G1414" s="4">
        <v>7</v>
      </c>
      <c r="H1414" s="8">
        <v>1.33</v>
      </c>
      <c r="I1414" s="4">
        <v>0</v>
      </c>
    </row>
    <row r="1415" spans="1:9" x14ac:dyDescent="0.2">
      <c r="A1415" s="2">
        <v>19</v>
      </c>
      <c r="B1415" s="1" t="s">
        <v>196</v>
      </c>
      <c r="C1415" s="4">
        <v>14</v>
      </c>
      <c r="D1415" s="8">
        <v>1.23</v>
      </c>
      <c r="E1415" s="4">
        <v>7</v>
      </c>
      <c r="F1415" s="8">
        <v>1.1599999999999999</v>
      </c>
      <c r="G1415" s="4">
        <v>7</v>
      </c>
      <c r="H1415" s="8">
        <v>1.33</v>
      </c>
      <c r="I1415" s="4">
        <v>0</v>
      </c>
    </row>
    <row r="1416" spans="1:9" x14ac:dyDescent="0.2">
      <c r="A1416" s="1"/>
      <c r="C1416" s="4"/>
      <c r="D1416" s="8"/>
      <c r="E1416" s="4"/>
      <c r="F1416" s="8"/>
      <c r="G1416" s="4"/>
      <c r="H1416" s="8"/>
      <c r="I1416" s="4"/>
    </row>
    <row r="1417" spans="1:9" x14ac:dyDescent="0.2">
      <c r="A1417" s="1" t="s">
        <v>63</v>
      </c>
      <c r="C1417" s="4"/>
      <c r="D1417" s="8"/>
      <c r="E1417" s="4"/>
      <c r="F1417" s="8"/>
      <c r="G1417" s="4"/>
      <c r="H1417" s="8"/>
      <c r="I1417" s="4"/>
    </row>
    <row r="1418" spans="1:9" x14ac:dyDescent="0.2">
      <c r="A1418" s="2">
        <v>1</v>
      </c>
      <c r="B1418" s="1" t="s">
        <v>160</v>
      </c>
      <c r="C1418" s="4">
        <v>66</v>
      </c>
      <c r="D1418" s="8">
        <v>6.25</v>
      </c>
      <c r="E1418" s="4">
        <v>30</v>
      </c>
      <c r="F1418" s="8">
        <v>5.29</v>
      </c>
      <c r="G1418" s="4">
        <v>36</v>
      </c>
      <c r="H1418" s="8">
        <v>7.41</v>
      </c>
      <c r="I1418" s="4">
        <v>0</v>
      </c>
    </row>
    <row r="1419" spans="1:9" x14ac:dyDescent="0.2">
      <c r="A1419" s="2">
        <v>2</v>
      </c>
      <c r="B1419" s="1" t="s">
        <v>169</v>
      </c>
      <c r="C1419" s="4">
        <v>59</v>
      </c>
      <c r="D1419" s="8">
        <v>5.59</v>
      </c>
      <c r="E1419" s="4">
        <v>49</v>
      </c>
      <c r="F1419" s="8">
        <v>8.64</v>
      </c>
      <c r="G1419" s="4">
        <v>10</v>
      </c>
      <c r="H1419" s="8">
        <v>2.06</v>
      </c>
      <c r="I1419" s="4">
        <v>0</v>
      </c>
    </row>
    <row r="1420" spans="1:9" x14ac:dyDescent="0.2">
      <c r="A1420" s="2">
        <v>3</v>
      </c>
      <c r="B1420" s="1" t="s">
        <v>170</v>
      </c>
      <c r="C1420" s="4">
        <v>44</v>
      </c>
      <c r="D1420" s="8">
        <v>4.17</v>
      </c>
      <c r="E1420" s="4">
        <v>35</v>
      </c>
      <c r="F1420" s="8">
        <v>6.17</v>
      </c>
      <c r="G1420" s="4">
        <v>9</v>
      </c>
      <c r="H1420" s="8">
        <v>1.85</v>
      </c>
      <c r="I1420" s="4">
        <v>0</v>
      </c>
    </row>
    <row r="1421" spans="1:9" x14ac:dyDescent="0.2">
      <c r="A1421" s="2">
        <v>4</v>
      </c>
      <c r="B1421" s="1" t="s">
        <v>171</v>
      </c>
      <c r="C1421" s="4">
        <v>41</v>
      </c>
      <c r="D1421" s="8">
        <v>3.88</v>
      </c>
      <c r="E1421" s="4">
        <v>38</v>
      </c>
      <c r="F1421" s="8">
        <v>6.7</v>
      </c>
      <c r="G1421" s="4">
        <v>3</v>
      </c>
      <c r="H1421" s="8">
        <v>0.62</v>
      </c>
      <c r="I1421" s="4">
        <v>0</v>
      </c>
    </row>
    <row r="1422" spans="1:9" x14ac:dyDescent="0.2">
      <c r="A1422" s="2">
        <v>5</v>
      </c>
      <c r="B1422" s="1" t="s">
        <v>159</v>
      </c>
      <c r="C1422" s="4">
        <v>32</v>
      </c>
      <c r="D1422" s="8">
        <v>3.03</v>
      </c>
      <c r="E1422" s="4">
        <v>5</v>
      </c>
      <c r="F1422" s="8">
        <v>0.88</v>
      </c>
      <c r="G1422" s="4">
        <v>27</v>
      </c>
      <c r="H1422" s="8">
        <v>5.56</v>
      </c>
      <c r="I1422" s="4">
        <v>0</v>
      </c>
    </row>
    <row r="1423" spans="1:9" x14ac:dyDescent="0.2">
      <c r="A1423" s="2">
        <v>6</v>
      </c>
      <c r="B1423" s="1" t="s">
        <v>168</v>
      </c>
      <c r="C1423" s="4">
        <v>28</v>
      </c>
      <c r="D1423" s="8">
        <v>2.65</v>
      </c>
      <c r="E1423" s="4">
        <v>28</v>
      </c>
      <c r="F1423" s="8">
        <v>4.9400000000000004</v>
      </c>
      <c r="G1423" s="4">
        <v>0</v>
      </c>
      <c r="H1423" s="8">
        <v>0</v>
      </c>
      <c r="I1423" s="4">
        <v>0</v>
      </c>
    </row>
    <row r="1424" spans="1:9" x14ac:dyDescent="0.2">
      <c r="A1424" s="2">
        <v>7</v>
      </c>
      <c r="B1424" s="1" t="s">
        <v>164</v>
      </c>
      <c r="C1424" s="4">
        <v>26</v>
      </c>
      <c r="D1424" s="8">
        <v>2.46</v>
      </c>
      <c r="E1424" s="4">
        <v>25</v>
      </c>
      <c r="F1424" s="8">
        <v>4.41</v>
      </c>
      <c r="G1424" s="4">
        <v>1</v>
      </c>
      <c r="H1424" s="8">
        <v>0.21</v>
      </c>
      <c r="I1424" s="4">
        <v>0</v>
      </c>
    </row>
    <row r="1425" spans="1:9" x14ac:dyDescent="0.2">
      <c r="A1425" s="2">
        <v>8</v>
      </c>
      <c r="B1425" s="1" t="s">
        <v>215</v>
      </c>
      <c r="C1425" s="4">
        <v>25</v>
      </c>
      <c r="D1425" s="8">
        <v>2.37</v>
      </c>
      <c r="E1425" s="4">
        <v>14</v>
      </c>
      <c r="F1425" s="8">
        <v>2.4700000000000002</v>
      </c>
      <c r="G1425" s="4">
        <v>11</v>
      </c>
      <c r="H1425" s="8">
        <v>2.2599999999999998</v>
      </c>
      <c r="I1425" s="4">
        <v>0</v>
      </c>
    </row>
    <row r="1426" spans="1:9" x14ac:dyDescent="0.2">
      <c r="A1426" s="2">
        <v>8</v>
      </c>
      <c r="B1426" s="1" t="s">
        <v>167</v>
      </c>
      <c r="C1426" s="4">
        <v>25</v>
      </c>
      <c r="D1426" s="8">
        <v>2.37</v>
      </c>
      <c r="E1426" s="4">
        <v>24</v>
      </c>
      <c r="F1426" s="8">
        <v>4.2300000000000004</v>
      </c>
      <c r="G1426" s="4">
        <v>1</v>
      </c>
      <c r="H1426" s="8">
        <v>0.21</v>
      </c>
      <c r="I1426" s="4">
        <v>0</v>
      </c>
    </row>
    <row r="1427" spans="1:9" x14ac:dyDescent="0.2">
      <c r="A1427" s="2">
        <v>10</v>
      </c>
      <c r="B1427" s="1" t="s">
        <v>190</v>
      </c>
      <c r="C1427" s="4">
        <v>24</v>
      </c>
      <c r="D1427" s="8">
        <v>2.27</v>
      </c>
      <c r="E1427" s="4">
        <v>7</v>
      </c>
      <c r="F1427" s="8">
        <v>1.23</v>
      </c>
      <c r="G1427" s="4">
        <v>17</v>
      </c>
      <c r="H1427" s="8">
        <v>3.5</v>
      </c>
      <c r="I1427" s="4">
        <v>0</v>
      </c>
    </row>
    <row r="1428" spans="1:9" x14ac:dyDescent="0.2">
      <c r="A1428" s="2">
        <v>11</v>
      </c>
      <c r="B1428" s="1" t="s">
        <v>157</v>
      </c>
      <c r="C1428" s="4">
        <v>22</v>
      </c>
      <c r="D1428" s="8">
        <v>2.08</v>
      </c>
      <c r="E1428" s="4">
        <v>21</v>
      </c>
      <c r="F1428" s="8">
        <v>3.7</v>
      </c>
      <c r="G1428" s="4">
        <v>1</v>
      </c>
      <c r="H1428" s="8">
        <v>0.21</v>
      </c>
      <c r="I1428" s="4">
        <v>0</v>
      </c>
    </row>
    <row r="1429" spans="1:9" x14ac:dyDescent="0.2">
      <c r="A1429" s="2">
        <v>12</v>
      </c>
      <c r="B1429" s="1" t="s">
        <v>161</v>
      </c>
      <c r="C1429" s="4">
        <v>21</v>
      </c>
      <c r="D1429" s="8">
        <v>1.99</v>
      </c>
      <c r="E1429" s="4">
        <v>16</v>
      </c>
      <c r="F1429" s="8">
        <v>2.82</v>
      </c>
      <c r="G1429" s="4">
        <v>5</v>
      </c>
      <c r="H1429" s="8">
        <v>1.03</v>
      </c>
      <c r="I1429" s="4">
        <v>0</v>
      </c>
    </row>
    <row r="1430" spans="1:9" x14ac:dyDescent="0.2">
      <c r="A1430" s="2">
        <v>13</v>
      </c>
      <c r="B1430" s="1" t="s">
        <v>162</v>
      </c>
      <c r="C1430" s="4">
        <v>17</v>
      </c>
      <c r="D1430" s="8">
        <v>1.61</v>
      </c>
      <c r="E1430" s="4">
        <v>0</v>
      </c>
      <c r="F1430" s="8">
        <v>0</v>
      </c>
      <c r="G1430" s="4">
        <v>17</v>
      </c>
      <c r="H1430" s="8">
        <v>3.5</v>
      </c>
      <c r="I1430" s="4">
        <v>0</v>
      </c>
    </row>
    <row r="1431" spans="1:9" x14ac:dyDescent="0.2">
      <c r="A1431" s="2">
        <v>13</v>
      </c>
      <c r="B1431" s="1" t="s">
        <v>198</v>
      </c>
      <c r="C1431" s="4">
        <v>17</v>
      </c>
      <c r="D1431" s="8">
        <v>1.61</v>
      </c>
      <c r="E1431" s="4">
        <v>15</v>
      </c>
      <c r="F1431" s="8">
        <v>2.65</v>
      </c>
      <c r="G1431" s="4">
        <v>2</v>
      </c>
      <c r="H1431" s="8">
        <v>0.41</v>
      </c>
      <c r="I1431" s="4">
        <v>0</v>
      </c>
    </row>
    <row r="1432" spans="1:9" x14ac:dyDescent="0.2">
      <c r="A1432" s="2">
        <v>15</v>
      </c>
      <c r="B1432" s="1" t="s">
        <v>210</v>
      </c>
      <c r="C1432" s="4">
        <v>16</v>
      </c>
      <c r="D1432" s="8">
        <v>1.52</v>
      </c>
      <c r="E1432" s="4">
        <v>3</v>
      </c>
      <c r="F1432" s="8">
        <v>0.53</v>
      </c>
      <c r="G1432" s="4">
        <v>13</v>
      </c>
      <c r="H1432" s="8">
        <v>2.67</v>
      </c>
      <c r="I1432" s="4">
        <v>0</v>
      </c>
    </row>
    <row r="1433" spans="1:9" x14ac:dyDescent="0.2">
      <c r="A1433" s="2">
        <v>15</v>
      </c>
      <c r="B1433" s="1" t="s">
        <v>153</v>
      </c>
      <c r="C1433" s="4">
        <v>16</v>
      </c>
      <c r="D1433" s="8">
        <v>1.52</v>
      </c>
      <c r="E1433" s="4">
        <v>4</v>
      </c>
      <c r="F1433" s="8">
        <v>0.71</v>
      </c>
      <c r="G1433" s="4">
        <v>12</v>
      </c>
      <c r="H1433" s="8">
        <v>2.4700000000000002</v>
      </c>
      <c r="I1433" s="4">
        <v>0</v>
      </c>
    </row>
    <row r="1434" spans="1:9" x14ac:dyDescent="0.2">
      <c r="A1434" s="2">
        <v>15</v>
      </c>
      <c r="B1434" s="1" t="s">
        <v>165</v>
      </c>
      <c r="C1434" s="4">
        <v>16</v>
      </c>
      <c r="D1434" s="8">
        <v>1.52</v>
      </c>
      <c r="E1434" s="4">
        <v>16</v>
      </c>
      <c r="F1434" s="8">
        <v>2.82</v>
      </c>
      <c r="G1434" s="4">
        <v>0</v>
      </c>
      <c r="H1434" s="8">
        <v>0</v>
      </c>
      <c r="I1434" s="4">
        <v>0</v>
      </c>
    </row>
    <row r="1435" spans="1:9" x14ac:dyDescent="0.2">
      <c r="A1435" s="2">
        <v>18</v>
      </c>
      <c r="B1435" s="1" t="s">
        <v>155</v>
      </c>
      <c r="C1435" s="4">
        <v>15</v>
      </c>
      <c r="D1435" s="8">
        <v>1.42</v>
      </c>
      <c r="E1435" s="4">
        <v>13</v>
      </c>
      <c r="F1435" s="8">
        <v>2.29</v>
      </c>
      <c r="G1435" s="4">
        <v>2</v>
      </c>
      <c r="H1435" s="8">
        <v>0.41</v>
      </c>
      <c r="I1435" s="4">
        <v>0</v>
      </c>
    </row>
    <row r="1436" spans="1:9" x14ac:dyDescent="0.2">
      <c r="A1436" s="2">
        <v>18</v>
      </c>
      <c r="B1436" s="1" t="s">
        <v>236</v>
      </c>
      <c r="C1436" s="4">
        <v>15</v>
      </c>
      <c r="D1436" s="8">
        <v>1.42</v>
      </c>
      <c r="E1436" s="4">
        <v>9</v>
      </c>
      <c r="F1436" s="8">
        <v>1.59</v>
      </c>
      <c r="G1436" s="4">
        <v>6</v>
      </c>
      <c r="H1436" s="8">
        <v>1.23</v>
      </c>
      <c r="I1436" s="4">
        <v>0</v>
      </c>
    </row>
    <row r="1437" spans="1:9" x14ac:dyDescent="0.2">
      <c r="A1437" s="2">
        <v>20</v>
      </c>
      <c r="B1437" s="1" t="s">
        <v>172</v>
      </c>
      <c r="C1437" s="4">
        <v>14</v>
      </c>
      <c r="D1437" s="8">
        <v>1.33</v>
      </c>
      <c r="E1437" s="4">
        <v>3</v>
      </c>
      <c r="F1437" s="8">
        <v>0.53</v>
      </c>
      <c r="G1437" s="4">
        <v>11</v>
      </c>
      <c r="H1437" s="8">
        <v>2.2599999999999998</v>
      </c>
      <c r="I1437" s="4">
        <v>0</v>
      </c>
    </row>
    <row r="1438" spans="1:9" x14ac:dyDescent="0.2">
      <c r="A1438" s="2">
        <v>20</v>
      </c>
      <c r="B1438" s="1" t="s">
        <v>196</v>
      </c>
      <c r="C1438" s="4">
        <v>14</v>
      </c>
      <c r="D1438" s="8">
        <v>1.33</v>
      </c>
      <c r="E1438" s="4">
        <v>5</v>
      </c>
      <c r="F1438" s="8">
        <v>0.88</v>
      </c>
      <c r="G1438" s="4">
        <v>9</v>
      </c>
      <c r="H1438" s="8">
        <v>1.85</v>
      </c>
      <c r="I1438" s="4">
        <v>0</v>
      </c>
    </row>
    <row r="1439" spans="1:9" x14ac:dyDescent="0.2">
      <c r="A1439" s="2">
        <v>20</v>
      </c>
      <c r="B1439" s="1" t="s">
        <v>199</v>
      </c>
      <c r="C1439" s="4">
        <v>14</v>
      </c>
      <c r="D1439" s="8">
        <v>1.33</v>
      </c>
      <c r="E1439" s="4">
        <v>11</v>
      </c>
      <c r="F1439" s="8">
        <v>1.94</v>
      </c>
      <c r="G1439" s="4">
        <v>3</v>
      </c>
      <c r="H1439" s="8">
        <v>0.62</v>
      </c>
      <c r="I1439" s="4">
        <v>0</v>
      </c>
    </row>
    <row r="1440" spans="1:9" x14ac:dyDescent="0.2">
      <c r="A1440" s="2">
        <v>20</v>
      </c>
      <c r="B1440" s="1" t="s">
        <v>211</v>
      </c>
      <c r="C1440" s="4">
        <v>14</v>
      </c>
      <c r="D1440" s="8">
        <v>1.33</v>
      </c>
      <c r="E1440" s="4">
        <v>12</v>
      </c>
      <c r="F1440" s="8">
        <v>2.12</v>
      </c>
      <c r="G1440" s="4">
        <v>2</v>
      </c>
      <c r="H1440" s="8">
        <v>0.41</v>
      </c>
      <c r="I1440" s="4">
        <v>0</v>
      </c>
    </row>
    <row r="1441" spans="1:9" x14ac:dyDescent="0.2">
      <c r="A1441" s="1"/>
      <c r="C1441" s="4"/>
      <c r="D1441" s="8"/>
      <c r="E1441" s="4"/>
      <c r="F1441" s="8"/>
      <c r="G1441" s="4"/>
      <c r="H1441" s="8"/>
      <c r="I1441" s="4"/>
    </row>
    <row r="1442" spans="1:9" x14ac:dyDescent="0.2">
      <c r="A1442" s="1" t="s">
        <v>64</v>
      </c>
      <c r="C1442" s="4"/>
      <c r="D1442" s="8"/>
      <c r="E1442" s="4"/>
      <c r="F1442" s="8"/>
      <c r="G1442" s="4"/>
      <c r="H1442" s="8"/>
      <c r="I1442" s="4"/>
    </row>
    <row r="1443" spans="1:9" x14ac:dyDescent="0.2">
      <c r="A1443" s="2">
        <v>1</v>
      </c>
      <c r="B1443" s="1" t="s">
        <v>169</v>
      </c>
      <c r="C1443" s="4">
        <v>50</v>
      </c>
      <c r="D1443" s="8">
        <v>5.42</v>
      </c>
      <c r="E1443" s="4">
        <v>45</v>
      </c>
      <c r="F1443" s="8">
        <v>8.02</v>
      </c>
      <c r="G1443" s="4">
        <v>5</v>
      </c>
      <c r="H1443" s="8">
        <v>1.39</v>
      </c>
      <c r="I1443" s="4">
        <v>0</v>
      </c>
    </row>
    <row r="1444" spans="1:9" x14ac:dyDescent="0.2">
      <c r="A1444" s="2">
        <v>2</v>
      </c>
      <c r="B1444" s="1" t="s">
        <v>190</v>
      </c>
      <c r="C1444" s="4">
        <v>36</v>
      </c>
      <c r="D1444" s="8">
        <v>3.9</v>
      </c>
      <c r="E1444" s="4">
        <v>6</v>
      </c>
      <c r="F1444" s="8">
        <v>1.07</v>
      </c>
      <c r="G1444" s="4">
        <v>30</v>
      </c>
      <c r="H1444" s="8">
        <v>8.33</v>
      </c>
      <c r="I1444" s="4">
        <v>0</v>
      </c>
    </row>
    <row r="1445" spans="1:9" x14ac:dyDescent="0.2">
      <c r="A1445" s="2">
        <v>3</v>
      </c>
      <c r="B1445" s="1" t="s">
        <v>171</v>
      </c>
      <c r="C1445" s="4">
        <v>34</v>
      </c>
      <c r="D1445" s="8">
        <v>3.68</v>
      </c>
      <c r="E1445" s="4">
        <v>30</v>
      </c>
      <c r="F1445" s="8">
        <v>5.35</v>
      </c>
      <c r="G1445" s="4">
        <v>4</v>
      </c>
      <c r="H1445" s="8">
        <v>1.1100000000000001</v>
      </c>
      <c r="I1445" s="4">
        <v>0</v>
      </c>
    </row>
    <row r="1446" spans="1:9" x14ac:dyDescent="0.2">
      <c r="A1446" s="2">
        <v>4</v>
      </c>
      <c r="B1446" s="1" t="s">
        <v>161</v>
      </c>
      <c r="C1446" s="4">
        <v>30</v>
      </c>
      <c r="D1446" s="8">
        <v>3.25</v>
      </c>
      <c r="E1446" s="4">
        <v>29</v>
      </c>
      <c r="F1446" s="8">
        <v>5.17</v>
      </c>
      <c r="G1446" s="4">
        <v>1</v>
      </c>
      <c r="H1446" s="8">
        <v>0.28000000000000003</v>
      </c>
      <c r="I1446" s="4">
        <v>0</v>
      </c>
    </row>
    <row r="1447" spans="1:9" x14ac:dyDescent="0.2">
      <c r="A1447" s="2">
        <v>4</v>
      </c>
      <c r="B1447" s="1" t="s">
        <v>168</v>
      </c>
      <c r="C1447" s="4">
        <v>30</v>
      </c>
      <c r="D1447" s="8">
        <v>3.25</v>
      </c>
      <c r="E1447" s="4">
        <v>29</v>
      </c>
      <c r="F1447" s="8">
        <v>5.17</v>
      </c>
      <c r="G1447" s="4">
        <v>1</v>
      </c>
      <c r="H1447" s="8">
        <v>0.28000000000000003</v>
      </c>
      <c r="I1447" s="4">
        <v>0</v>
      </c>
    </row>
    <row r="1448" spans="1:9" x14ac:dyDescent="0.2">
      <c r="A1448" s="2">
        <v>4</v>
      </c>
      <c r="B1448" s="1" t="s">
        <v>170</v>
      </c>
      <c r="C1448" s="4">
        <v>30</v>
      </c>
      <c r="D1448" s="8">
        <v>3.25</v>
      </c>
      <c r="E1448" s="4">
        <v>26</v>
      </c>
      <c r="F1448" s="8">
        <v>4.63</v>
      </c>
      <c r="G1448" s="4">
        <v>4</v>
      </c>
      <c r="H1448" s="8">
        <v>1.1100000000000001</v>
      </c>
      <c r="I1448" s="4">
        <v>0</v>
      </c>
    </row>
    <row r="1449" spans="1:9" x14ac:dyDescent="0.2">
      <c r="A1449" s="2">
        <v>7</v>
      </c>
      <c r="B1449" s="1" t="s">
        <v>160</v>
      </c>
      <c r="C1449" s="4">
        <v>27</v>
      </c>
      <c r="D1449" s="8">
        <v>2.93</v>
      </c>
      <c r="E1449" s="4">
        <v>13</v>
      </c>
      <c r="F1449" s="8">
        <v>2.3199999999999998</v>
      </c>
      <c r="G1449" s="4">
        <v>14</v>
      </c>
      <c r="H1449" s="8">
        <v>3.89</v>
      </c>
      <c r="I1449" s="4">
        <v>0</v>
      </c>
    </row>
    <row r="1450" spans="1:9" x14ac:dyDescent="0.2">
      <c r="A1450" s="2">
        <v>8</v>
      </c>
      <c r="B1450" s="1" t="s">
        <v>153</v>
      </c>
      <c r="C1450" s="4">
        <v>24</v>
      </c>
      <c r="D1450" s="8">
        <v>2.6</v>
      </c>
      <c r="E1450" s="4">
        <v>6</v>
      </c>
      <c r="F1450" s="8">
        <v>1.07</v>
      </c>
      <c r="G1450" s="4">
        <v>18</v>
      </c>
      <c r="H1450" s="8">
        <v>5</v>
      </c>
      <c r="I1450" s="4">
        <v>0</v>
      </c>
    </row>
    <row r="1451" spans="1:9" x14ac:dyDescent="0.2">
      <c r="A1451" s="2">
        <v>8</v>
      </c>
      <c r="B1451" s="1" t="s">
        <v>157</v>
      </c>
      <c r="C1451" s="4">
        <v>24</v>
      </c>
      <c r="D1451" s="8">
        <v>2.6</v>
      </c>
      <c r="E1451" s="4">
        <v>17</v>
      </c>
      <c r="F1451" s="8">
        <v>3.03</v>
      </c>
      <c r="G1451" s="4">
        <v>7</v>
      </c>
      <c r="H1451" s="8">
        <v>1.94</v>
      </c>
      <c r="I1451" s="4">
        <v>0</v>
      </c>
    </row>
    <row r="1452" spans="1:9" x14ac:dyDescent="0.2">
      <c r="A1452" s="2">
        <v>10</v>
      </c>
      <c r="B1452" s="1" t="s">
        <v>215</v>
      </c>
      <c r="C1452" s="4">
        <v>19</v>
      </c>
      <c r="D1452" s="8">
        <v>2.06</v>
      </c>
      <c r="E1452" s="4">
        <v>18</v>
      </c>
      <c r="F1452" s="8">
        <v>3.21</v>
      </c>
      <c r="G1452" s="4">
        <v>1</v>
      </c>
      <c r="H1452" s="8">
        <v>0.28000000000000003</v>
      </c>
      <c r="I1452" s="4">
        <v>0</v>
      </c>
    </row>
    <row r="1453" spans="1:9" x14ac:dyDescent="0.2">
      <c r="A1453" s="2">
        <v>10</v>
      </c>
      <c r="B1453" s="1" t="s">
        <v>167</v>
      </c>
      <c r="C1453" s="4">
        <v>19</v>
      </c>
      <c r="D1453" s="8">
        <v>2.06</v>
      </c>
      <c r="E1453" s="4">
        <v>16</v>
      </c>
      <c r="F1453" s="8">
        <v>2.85</v>
      </c>
      <c r="G1453" s="4">
        <v>3</v>
      </c>
      <c r="H1453" s="8">
        <v>0.83</v>
      </c>
      <c r="I1453" s="4">
        <v>0</v>
      </c>
    </row>
    <row r="1454" spans="1:9" x14ac:dyDescent="0.2">
      <c r="A1454" s="2">
        <v>12</v>
      </c>
      <c r="B1454" s="1" t="s">
        <v>198</v>
      </c>
      <c r="C1454" s="4">
        <v>17</v>
      </c>
      <c r="D1454" s="8">
        <v>1.84</v>
      </c>
      <c r="E1454" s="4">
        <v>14</v>
      </c>
      <c r="F1454" s="8">
        <v>2.5</v>
      </c>
      <c r="G1454" s="4">
        <v>3</v>
      </c>
      <c r="H1454" s="8">
        <v>0.83</v>
      </c>
      <c r="I1454" s="4">
        <v>0</v>
      </c>
    </row>
    <row r="1455" spans="1:9" x14ac:dyDescent="0.2">
      <c r="A1455" s="2">
        <v>13</v>
      </c>
      <c r="B1455" s="1" t="s">
        <v>156</v>
      </c>
      <c r="C1455" s="4">
        <v>16</v>
      </c>
      <c r="D1455" s="8">
        <v>1.73</v>
      </c>
      <c r="E1455" s="4">
        <v>13</v>
      </c>
      <c r="F1455" s="8">
        <v>2.3199999999999998</v>
      </c>
      <c r="G1455" s="4">
        <v>3</v>
      </c>
      <c r="H1455" s="8">
        <v>0.83</v>
      </c>
      <c r="I1455" s="4">
        <v>0</v>
      </c>
    </row>
    <row r="1456" spans="1:9" x14ac:dyDescent="0.2">
      <c r="A1456" s="2">
        <v>14</v>
      </c>
      <c r="B1456" s="1" t="s">
        <v>172</v>
      </c>
      <c r="C1456" s="4">
        <v>15</v>
      </c>
      <c r="D1456" s="8">
        <v>1.63</v>
      </c>
      <c r="E1456" s="4">
        <v>7</v>
      </c>
      <c r="F1456" s="8">
        <v>1.25</v>
      </c>
      <c r="G1456" s="4">
        <v>8</v>
      </c>
      <c r="H1456" s="8">
        <v>2.2200000000000002</v>
      </c>
      <c r="I1456" s="4">
        <v>0</v>
      </c>
    </row>
    <row r="1457" spans="1:9" x14ac:dyDescent="0.2">
      <c r="A1457" s="2">
        <v>15</v>
      </c>
      <c r="B1457" s="1" t="s">
        <v>237</v>
      </c>
      <c r="C1457" s="4">
        <v>14</v>
      </c>
      <c r="D1457" s="8">
        <v>1.52</v>
      </c>
      <c r="E1457" s="4">
        <v>12</v>
      </c>
      <c r="F1457" s="8">
        <v>2.14</v>
      </c>
      <c r="G1457" s="4">
        <v>2</v>
      </c>
      <c r="H1457" s="8">
        <v>0.56000000000000005</v>
      </c>
      <c r="I1457" s="4">
        <v>0</v>
      </c>
    </row>
    <row r="1458" spans="1:9" x14ac:dyDescent="0.2">
      <c r="A1458" s="2">
        <v>16</v>
      </c>
      <c r="B1458" s="1" t="s">
        <v>152</v>
      </c>
      <c r="C1458" s="4">
        <v>12</v>
      </c>
      <c r="D1458" s="8">
        <v>1.3</v>
      </c>
      <c r="E1458" s="4">
        <v>2</v>
      </c>
      <c r="F1458" s="8">
        <v>0.36</v>
      </c>
      <c r="G1458" s="4">
        <v>10</v>
      </c>
      <c r="H1458" s="8">
        <v>2.78</v>
      </c>
      <c r="I1458" s="4">
        <v>0</v>
      </c>
    </row>
    <row r="1459" spans="1:9" x14ac:dyDescent="0.2">
      <c r="A1459" s="2">
        <v>16</v>
      </c>
      <c r="B1459" s="1" t="s">
        <v>174</v>
      </c>
      <c r="C1459" s="4">
        <v>12</v>
      </c>
      <c r="D1459" s="8">
        <v>1.3</v>
      </c>
      <c r="E1459" s="4">
        <v>7</v>
      </c>
      <c r="F1459" s="8">
        <v>1.25</v>
      </c>
      <c r="G1459" s="4">
        <v>5</v>
      </c>
      <c r="H1459" s="8">
        <v>1.39</v>
      </c>
      <c r="I1459" s="4">
        <v>0</v>
      </c>
    </row>
    <row r="1460" spans="1:9" x14ac:dyDescent="0.2">
      <c r="A1460" s="2">
        <v>16</v>
      </c>
      <c r="B1460" s="1" t="s">
        <v>181</v>
      </c>
      <c r="C1460" s="4">
        <v>12</v>
      </c>
      <c r="D1460" s="8">
        <v>1.3</v>
      </c>
      <c r="E1460" s="4">
        <v>12</v>
      </c>
      <c r="F1460" s="8">
        <v>2.14</v>
      </c>
      <c r="G1460" s="4">
        <v>0</v>
      </c>
      <c r="H1460" s="8">
        <v>0</v>
      </c>
      <c r="I1460" s="4">
        <v>0</v>
      </c>
    </row>
    <row r="1461" spans="1:9" x14ac:dyDescent="0.2">
      <c r="A1461" s="2">
        <v>16</v>
      </c>
      <c r="B1461" s="1" t="s">
        <v>159</v>
      </c>
      <c r="C1461" s="4">
        <v>12</v>
      </c>
      <c r="D1461" s="8">
        <v>1.3</v>
      </c>
      <c r="E1461" s="4">
        <v>3</v>
      </c>
      <c r="F1461" s="8">
        <v>0.53</v>
      </c>
      <c r="G1461" s="4">
        <v>9</v>
      </c>
      <c r="H1461" s="8">
        <v>2.5</v>
      </c>
      <c r="I1461" s="4">
        <v>0</v>
      </c>
    </row>
    <row r="1462" spans="1:9" x14ac:dyDescent="0.2">
      <c r="A1462" s="2">
        <v>16</v>
      </c>
      <c r="B1462" s="1" t="s">
        <v>164</v>
      </c>
      <c r="C1462" s="4">
        <v>12</v>
      </c>
      <c r="D1462" s="8">
        <v>1.3</v>
      </c>
      <c r="E1462" s="4">
        <v>12</v>
      </c>
      <c r="F1462" s="8">
        <v>2.14</v>
      </c>
      <c r="G1462" s="4">
        <v>0</v>
      </c>
      <c r="H1462" s="8">
        <v>0</v>
      </c>
      <c r="I1462" s="4">
        <v>0</v>
      </c>
    </row>
    <row r="1463" spans="1:9" x14ac:dyDescent="0.2">
      <c r="A1463" s="2">
        <v>16</v>
      </c>
      <c r="B1463" s="1" t="s">
        <v>165</v>
      </c>
      <c r="C1463" s="4">
        <v>12</v>
      </c>
      <c r="D1463" s="8">
        <v>1.3</v>
      </c>
      <c r="E1463" s="4">
        <v>12</v>
      </c>
      <c r="F1463" s="8">
        <v>2.14</v>
      </c>
      <c r="G1463" s="4">
        <v>0</v>
      </c>
      <c r="H1463" s="8">
        <v>0</v>
      </c>
      <c r="I1463" s="4">
        <v>0</v>
      </c>
    </row>
    <row r="1464" spans="1:9" x14ac:dyDescent="0.2">
      <c r="A1464" s="2">
        <v>16</v>
      </c>
      <c r="B1464" s="1" t="s">
        <v>199</v>
      </c>
      <c r="C1464" s="4">
        <v>12</v>
      </c>
      <c r="D1464" s="8">
        <v>1.3</v>
      </c>
      <c r="E1464" s="4">
        <v>10</v>
      </c>
      <c r="F1464" s="8">
        <v>1.78</v>
      </c>
      <c r="G1464" s="4">
        <v>2</v>
      </c>
      <c r="H1464" s="8">
        <v>0.56000000000000005</v>
      </c>
      <c r="I1464" s="4">
        <v>0</v>
      </c>
    </row>
    <row r="1465" spans="1:9" x14ac:dyDescent="0.2">
      <c r="A1465" s="1"/>
      <c r="C1465" s="4"/>
      <c r="D1465" s="8"/>
      <c r="E1465" s="4"/>
      <c r="F1465" s="8"/>
      <c r="G1465" s="4"/>
      <c r="H1465" s="8"/>
      <c r="I1465" s="4"/>
    </row>
    <row r="1466" spans="1:9" x14ac:dyDescent="0.2">
      <c r="A1466" s="1" t="s">
        <v>65</v>
      </c>
      <c r="C1466" s="4"/>
      <c r="D1466" s="8"/>
      <c r="E1466" s="4"/>
      <c r="F1466" s="8"/>
      <c r="G1466" s="4"/>
      <c r="H1466" s="8"/>
      <c r="I1466" s="4"/>
    </row>
    <row r="1467" spans="1:9" x14ac:dyDescent="0.2">
      <c r="A1467" s="2">
        <v>1</v>
      </c>
      <c r="B1467" s="1" t="s">
        <v>170</v>
      </c>
      <c r="C1467" s="4">
        <v>20</v>
      </c>
      <c r="D1467" s="8">
        <v>5.78</v>
      </c>
      <c r="E1467" s="4">
        <v>18</v>
      </c>
      <c r="F1467" s="8">
        <v>10.4</v>
      </c>
      <c r="G1467" s="4">
        <v>2</v>
      </c>
      <c r="H1467" s="8">
        <v>1.18</v>
      </c>
      <c r="I1467" s="4">
        <v>0</v>
      </c>
    </row>
    <row r="1468" spans="1:9" x14ac:dyDescent="0.2">
      <c r="A1468" s="2">
        <v>2</v>
      </c>
      <c r="B1468" s="1" t="s">
        <v>169</v>
      </c>
      <c r="C1468" s="4">
        <v>15</v>
      </c>
      <c r="D1468" s="8">
        <v>4.34</v>
      </c>
      <c r="E1468" s="4">
        <v>14</v>
      </c>
      <c r="F1468" s="8">
        <v>8.09</v>
      </c>
      <c r="G1468" s="4">
        <v>1</v>
      </c>
      <c r="H1468" s="8">
        <v>0.59</v>
      </c>
      <c r="I1468" s="4">
        <v>0</v>
      </c>
    </row>
    <row r="1469" spans="1:9" x14ac:dyDescent="0.2">
      <c r="A1469" s="2">
        <v>3</v>
      </c>
      <c r="B1469" s="1" t="s">
        <v>168</v>
      </c>
      <c r="C1469" s="4">
        <v>14</v>
      </c>
      <c r="D1469" s="8">
        <v>4.05</v>
      </c>
      <c r="E1469" s="4">
        <v>12</v>
      </c>
      <c r="F1469" s="8">
        <v>6.94</v>
      </c>
      <c r="G1469" s="4">
        <v>2</v>
      </c>
      <c r="H1469" s="8">
        <v>1.18</v>
      </c>
      <c r="I1469" s="4">
        <v>0</v>
      </c>
    </row>
    <row r="1470" spans="1:9" x14ac:dyDescent="0.2">
      <c r="A1470" s="2">
        <v>3</v>
      </c>
      <c r="B1470" s="1" t="s">
        <v>171</v>
      </c>
      <c r="C1470" s="4">
        <v>14</v>
      </c>
      <c r="D1470" s="8">
        <v>4.05</v>
      </c>
      <c r="E1470" s="4">
        <v>12</v>
      </c>
      <c r="F1470" s="8">
        <v>6.94</v>
      </c>
      <c r="G1470" s="4">
        <v>2</v>
      </c>
      <c r="H1470" s="8">
        <v>1.18</v>
      </c>
      <c r="I1470" s="4">
        <v>0</v>
      </c>
    </row>
    <row r="1471" spans="1:9" x14ac:dyDescent="0.2">
      <c r="A1471" s="2">
        <v>5</v>
      </c>
      <c r="B1471" s="1" t="s">
        <v>160</v>
      </c>
      <c r="C1471" s="4">
        <v>13</v>
      </c>
      <c r="D1471" s="8">
        <v>3.76</v>
      </c>
      <c r="E1471" s="4">
        <v>4</v>
      </c>
      <c r="F1471" s="8">
        <v>2.31</v>
      </c>
      <c r="G1471" s="4">
        <v>9</v>
      </c>
      <c r="H1471" s="8">
        <v>5.29</v>
      </c>
      <c r="I1471" s="4">
        <v>0</v>
      </c>
    </row>
    <row r="1472" spans="1:9" x14ac:dyDescent="0.2">
      <c r="A1472" s="2">
        <v>6</v>
      </c>
      <c r="B1472" s="1" t="s">
        <v>190</v>
      </c>
      <c r="C1472" s="4">
        <v>10</v>
      </c>
      <c r="D1472" s="8">
        <v>2.89</v>
      </c>
      <c r="E1472" s="4">
        <v>2</v>
      </c>
      <c r="F1472" s="8">
        <v>1.1599999999999999</v>
      </c>
      <c r="G1472" s="4">
        <v>8</v>
      </c>
      <c r="H1472" s="8">
        <v>4.71</v>
      </c>
      <c r="I1472" s="4">
        <v>0</v>
      </c>
    </row>
    <row r="1473" spans="1:9" x14ac:dyDescent="0.2">
      <c r="A1473" s="2">
        <v>6</v>
      </c>
      <c r="B1473" s="1" t="s">
        <v>152</v>
      </c>
      <c r="C1473" s="4">
        <v>10</v>
      </c>
      <c r="D1473" s="8">
        <v>2.89</v>
      </c>
      <c r="E1473" s="4">
        <v>0</v>
      </c>
      <c r="F1473" s="8">
        <v>0</v>
      </c>
      <c r="G1473" s="4">
        <v>10</v>
      </c>
      <c r="H1473" s="8">
        <v>5.88</v>
      </c>
      <c r="I1473" s="4">
        <v>0</v>
      </c>
    </row>
    <row r="1474" spans="1:9" x14ac:dyDescent="0.2">
      <c r="A1474" s="2">
        <v>8</v>
      </c>
      <c r="B1474" s="1" t="s">
        <v>181</v>
      </c>
      <c r="C1474" s="4">
        <v>8</v>
      </c>
      <c r="D1474" s="8">
        <v>2.31</v>
      </c>
      <c r="E1474" s="4">
        <v>7</v>
      </c>
      <c r="F1474" s="8">
        <v>4.05</v>
      </c>
      <c r="G1474" s="4">
        <v>1</v>
      </c>
      <c r="H1474" s="8">
        <v>0.59</v>
      </c>
      <c r="I1474" s="4">
        <v>0</v>
      </c>
    </row>
    <row r="1475" spans="1:9" x14ac:dyDescent="0.2">
      <c r="A1475" s="2">
        <v>9</v>
      </c>
      <c r="B1475" s="1" t="s">
        <v>172</v>
      </c>
      <c r="C1475" s="4">
        <v>7</v>
      </c>
      <c r="D1475" s="8">
        <v>2.02</v>
      </c>
      <c r="E1475" s="4">
        <v>3</v>
      </c>
      <c r="F1475" s="8">
        <v>1.73</v>
      </c>
      <c r="G1475" s="4">
        <v>4</v>
      </c>
      <c r="H1475" s="8">
        <v>2.35</v>
      </c>
      <c r="I1475" s="4">
        <v>0</v>
      </c>
    </row>
    <row r="1476" spans="1:9" x14ac:dyDescent="0.2">
      <c r="A1476" s="2">
        <v>9</v>
      </c>
      <c r="B1476" s="1" t="s">
        <v>166</v>
      </c>
      <c r="C1476" s="4">
        <v>7</v>
      </c>
      <c r="D1476" s="8">
        <v>2.02</v>
      </c>
      <c r="E1476" s="4">
        <v>7</v>
      </c>
      <c r="F1476" s="8">
        <v>4.05</v>
      </c>
      <c r="G1476" s="4">
        <v>0</v>
      </c>
      <c r="H1476" s="8">
        <v>0</v>
      </c>
      <c r="I1476" s="4">
        <v>0</v>
      </c>
    </row>
    <row r="1477" spans="1:9" x14ac:dyDescent="0.2">
      <c r="A1477" s="2">
        <v>9</v>
      </c>
      <c r="B1477" s="1" t="s">
        <v>209</v>
      </c>
      <c r="C1477" s="4">
        <v>7</v>
      </c>
      <c r="D1477" s="8">
        <v>2.02</v>
      </c>
      <c r="E1477" s="4">
        <v>1</v>
      </c>
      <c r="F1477" s="8">
        <v>0.57999999999999996</v>
      </c>
      <c r="G1477" s="4">
        <v>6</v>
      </c>
      <c r="H1477" s="8">
        <v>3.53</v>
      </c>
      <c r="I1477" s="4">
        <v>0</v>
      </c>
    </row>
    <row r="1478" spans="1:9" x14ac:dyDescent="0.2">
      <c r="A1478" s="2">
        <v>12</v>
      </c>
      <c r="B1478" s="1" t="s">
        <v>167</v>
      </c>
      <c r="C1478" s="4">
        <v>6</v>
      </c>
      <c r="D1478" s="8">
        <v>1.73</v>
      </c>
      <c r="E1478" s="4">
        <v>5</v>
      </c>
      <c r="F1478" s="8">
        <v>2.89</v>
      </c>
      <c r="G1478" s="4">
        <v>1</v>
      </c>
      <c r="H1478" s="8">
        <v>0.59</v>
      </c>
      <c r="I1478" s="4">
        <v>0</v>
      </c>
    </row>
    <row r="1479" spans="1:9" x14ac:dyDescent="0.2">
      <c r="A1479" s="2">
        <v>12</v>
      </c>
      <c r="B1479" s="1" t="s">
        <v>236</v>
      </c>
      <c r="C1479" s="4">
        <v>6</v>
      </c>
      <c r="D1479" s="8">
        <v>1.73</v>
      </c>
      <c r="E1479" s="4">
        <v>4</v>
      </c>
      <c r="F1479" s="8">
        <v>2.31</v>
      </c>
      <c r="G1479" s="4">
        <v>2</v>
      </c>
      <c r="H1479" s="8">
        <v>1.18</v>
      </c>
      <c r="I1479" s="4">
        <v>0</v>
      </c>
    </row>
    <row r="1480" spans="1:9" x14ac:dyDescent="0.2">
      <c r="A1480" s="2">
        <v>12</v>
      </c>
      <c r="B1480" s="1" t="s">
        <v>199</v>
      </c>
      <c r="C1480" s="4">
        <v>6</v>
      </c>
      <c r="D1480" s="8">
        <v>1.73</v>
      </c>
      <c r="E1480" s="4">
        <v>4</v>
      </c>
      <c r="F1480" s="8">
        <v>2.31</v>
      </c>
      <c r="G1480" s="4">
        <v>2</v>
      </c>
      <c r="H1480" s="8">
        <v>1.18</v>
      </c>
      <c r="I1480" s="4">
        <v>0</v>
      </c>
    </row>
    <row r="1481" spans="1:9" x14ac:dyDescent="0.2">
      <c r="A1481" s="2">
        <v>15</v>
      </c>
      <c r="B1481" s="1" t="s">
        <v>185</v>
      </c>
      <c r="C1481" s="4">
        <v>5</v>
      </c>
      <c r="D1481" s="8">
        <v>1.45</v>
      </c>
      <c r="E1481" s="4">
        <v>0</v>
      </c>
      <c r="F1481" s="8">
        <v>0</v>
      </c>
      <c r="G1481" s="4">
        <v>5</v>
      </c>
      <c r="H1481" s="8">
        <v>2.94</v>
      </c>
      <c r="I1481" s="4">
        <v>0</v>
      </c>
    </row>
    <row r="1482" spans="1:9" x14ac:dyDescent="0.2">
      <c r="A1482" s="2">
        <v>15</v>
      </c>
      <c r="B1482" s="1" t="s">
        <v>156</v>
      </c>
      <c r="C1482" s="4">
        <v>5</v>
      </c>
      <c r="D1482" s="8">
        <v>1.45</v>
      </c>
      <c r="E1482" s="4">
        <v>2</v>
      </c>
      <c r="F1482" s="8">
        <v>1.1599999999999999</v>
      </c>
      <c r="G1482" s="4">
        <v>3</v>
      </c>
      <c r="H1482" s="8">
        <v>1.76</v>
      </c>
      <c r="I1482" s="4">
        <v>0</v>
      </c>
    </row>
    <row r="1483" spans="1:9" x14ac:dyDescent="0.2">
      <c r="A1483" s="2">
        <v>15</v>
      </c>
      <c r="B1483" s="1" t="s">
        <v>176</v>
      </c>
      <c r="C1483" s="4">
        <v>5</v>
      </c>
      <c r="D1483" s="8">
        <v>1.45</v>
      </c>
      <c r="E1483" s="4">
        <v>3</v>
      </c>
      <c r="F1483" s="8">
        <v>1.73</v>
      </c>
      <c r="G1483" s="4">
        <v>2</v>
      </c>
      <c r="H1483" s="8">
        <v>1.18</v>
      </c>
      <c r="I1483" s="4">
        <v>0</v>
      </c>
    </row>
    <row r="1484" spans="1:9" x14ac:dyDescent="0.2">
      <c r="A1484" s="2">
        <v>15</v>
      </c>
      <c r="B1484" s="1" t="s">
        <v>161</v>
      </c>
      <c r="C1484" s="4">
        <v>5</v>
      </c>
      <c r="D1484" s="8">
        <v>1.45</v>
      </c>
      <c r="E1484" s="4">
        <v>3</v>
      </c>
      <c r="F1484" s="8">
        <v>1.73</v>
      </c>
      <c r="G1484" s="4">
        <v>2</v>
      </c>
      <c r="H1484" s="8">
        <v>1.18</v>
      </c>
      <c r="I1484" s="4">
        <v>0</v>
      </c>
    </row>
    <row r="1485" spans="1:9" x14ac:dyDescent="0.2">
      <c r="A1485" s="2">
        <v>15</v>
      </c>
      <c r="B1485" s="1" t="s">
        <v>162</v>
      </c>
      <c r="C1485" s="4">
        <v>5</v>
      </c>
      <c r="D1485" s="8">
        <v>1.45</v>
      </c>
      <c r="E1485" s="4">
        <v>0</v>
      </c>
      <c r="F1485" s="8">
        <v>0</v>
      </c>
      <c r="G1485" s="4">
        <v>5</v>
      </c>
      <c r="H1485" s="8">
        <v>2.94</v>
      </c>
      <c r="I1485" s="4">
        <v>0</v>
      </c>
    </row>
    <row r="1486" spans="1:9" x14ac:dyDescent="0.2">
      <c r="A1486" s="2">
        <v>15</v>
      </c>
      <c r="B1486" s="1" t="s">
        <v>164</v>
      </c>
      <c r="C1486" s="4">
        <v>5</v>
      </c>
      <c r="D1486" s="8">
        <v>1.45</v>
      </c>
      <c r="E1486" s="4">
        <v>5</v>
      </c>
      <c r="F1486" s="8">
        <v>2.89</v>
      </c>
      <c r="G1486" s="4">
        <v>0</v>
      </c>
      <c r="H1486" s="8">
        <v>0</v>
      </c>
      <c r="I1486" s="4">
        <v>0</v>
      </c>
    </row>
    <row r="1487" spans="1:9" x14ac:dyDescent="0.2">
      <c r="A1487" s="2">
        <v>15</v>
      </c>
      <c r="B1487" s="1" t="s">
        <v>165</v>
      </c>
      <c r="C1487" s="4">
        <v>5</v>
      </c>
      <c r="D1487" s="8">
        <v>1.45</v>
      </c>
      <c r="E1487" s="4">
        <v>5</v>
      </c>
      <c r="F1487" s="8">
        <v>2.89</v>
      </c>
      <c r="G1487" s="4">
        <v>0</v>
      </c>
      <c r="H1487" s="8">
        <v>0</v>
      </c>
      <c r="I1487" s="4">
        <v>0</v>
      </c>
    </row>
    <row r="1488" spans="1:9" x14ac:dyDescent="0.2">
      <c r="A1488" s="2">
        <v>15</v>
      </c>
      <c r="B1488" s="1" t="s">
        <v>196</v>
      </c>
      <c r="C1488" s="4">
        <v>5</v>
      </c>
      <c r="D1488" s="8">
        <v>1.45</v>
      </c>
      <c r="E1488" s="4">
        <v>2</v>
      </c>
      <c r="F1488" s="8">
        <v>1.1599999999999999</v>
      </c>
      <c r="G1488" s="4">
        <v>3</v>
      </c>
      <c r="H1488" s="8">
        <v>1.76</v>
      </c>
      <c r="I1488" s="4">
        <v>0</v>
      </c>
    </row>
    <row r="1489" spans="1:9" x14ac:dyDescent="0.2">
      <c r="A1489" s="2">
        <v>15</v>
      </c>
      <c r="B1489" s="1" t="s">
        <v>223</v>
      </c>
      <c r="C1489" s="4">
        <v>5</v>
      </c>
      <c r="D1489" s="8">
        <v>1.45</v>
      </c>
      <c r="E1489" s="4">
        <v>4</v>
      </c>
      <c r="F1489" s="8">
        <v>2.31</v>
      </c>
      <c r="G1489" s="4">
        <v>1</v>
      </c>
      <c r="H1489" s="8">
        <v>0.59</v>
      </c>
      <c r="I1489" s="4">
        <v>0</v>
      </c>
    </row>
    <row r="1490" spans="1:9" x14ac:dyDescent="0.2">
      <c r="A1490" s="1"/>
      <c r="C1490" s="4"/>
      <c r="D1490" s="8"/>
      <c r="E1490" s="4"/>
      <c r="F1490" s="8"/>
      <c r="G1490" s="4"/>
      <c r="H1490" s="8"/>
      <c r="I1490" s="4"/>
    </row>
    <row r="1491" spans="1:9" x14ac:dyDescent="0.2">
      <c r="A1491" s="1" t="s">
        <v>66</v>
      </c>
      <c r="C1491" s="4"/>
      <c r="D1491" s="8"/>
      <c r="E1491" s="4"/>
      <c r="F1491" s="8"/>
      <c r="G1491" s="4"/>
      <c r="H1491" s="8"/>
      <c r="I1491" s="4"/>
    </row>
    <row r="1492" spans="1:9" x14ac:dyDescent="0.2">
      <c r="A1492" s="2">
        <v>1</v>
      </c>
      <c r="B1492" s="1" t="s">
        <v>190</v>
      </c>
      <c r="C1492" s="4">
        <v>13</v>
      </c>
      <c r="D1492" s="8">
        <v>5.2</v>
      </c>
      <c r="E1492" s="4">
        <v>5</v>
      </c>
      <c r="F1492" s="8">
        <v>4.17</v>
      </c>
      <c r="G1492" s="4">
        <v>8</v>
      </c>
      <c r="H1492" s="8">
        <v>6.61</v>
      </c>
      <c r="I1492" s="4">
        <v>0</v>
      </c>
    </row>
    <row r="1493" spans="1:9" x14ac:dyDescent="0.2">
      <c r="A1493" s="2">
        <v>2</v>
      </c>
      <c r="B1493" s="1" t="s">
        <v>169</v>
      </c>
      <c r="C1493" s="4">
        <v>12</v>
      </c>
      <c r="D1493" s="8">
        <v>4.8</v>
      </c>
      <c r="E1493" s="4">
        <v>11</v>
      </c>
      <c r="F1493" s="8">
        <v>9.17</v>
      </c>
      <c r="G1493" s="4">
        <v>1</v>
      </c>
      <c r="H1493" s="8">
        <v>0.83</v>
      </c>
      <c r="I1493" s="4">
        <v>0</v>
      </c>
    </row>
    <row r="1494" spans="1:9" x14ac:dyDescent="0.2">
      <c r="A1494" s="2">
        <v>3</v>
      </c>
      <c r="B1494" s="1" t="s">
        <v>167</v>
      </c>
      <c r="C1494" s="4">
        <v>9</v>
      </c>
      <c r="D1494" s="8">
        <v>3.6</v>
      </c>
      <c r="E1494" s="4">
        <v>9</v>
      </c>
      <c r="F1494" s="8">
        <v>7.5</v>
      </c>
      <c r="G1494" s="4">
        <v>0</v>
      </c>
      <c r="H1494" s="8">
        <v>0</v>
      </c>
      <c r="I1494" s="4">
        <v>0</v>
      </c>
    </row>
    <row r="1495" spans="1:9" x14ac:dyDescent="0.2">
      <c r="A1495" s="2">
        <v>4</v>
      </c>
      <c r="B1495" s="1" t="s">
        <v>174</v>
      </c>
      <c r="C1495" s="4">
        <v>8</v>
      </c>
      <c r="D1495" s="8">
        <v>3.2</v>
      </c>
      <c r="E1495" s="4">
        <v>4</v>
      </c>
      <c r="F1495" s="8">
        <v>3.33</v>
      </c>
      <c r="G1495" s="4">
        <v>4</v>
      </c>
      <c r="H1495" s="8">
        <v>3.31</v>
      </c>
      <c r="I1495" s="4">
        <v>0</v>
      </c>
    </row>
    <row r="1496" spans="1:9" x14ac:dyDescent="0.2">
      <c r="A1496" s="2">
        <v>4</v>
      </c>
      <c r="B1496" s="1" t="s">
        <v>171</v>
      </c>
      <c r="C1496" s="4">
        <v>8</v>
      </c>
      <c r="D1496" s="8">
        <v>3.2</v>
      </c>
      <c r="E1496" s="4">
        <v>8</v>
      </c>
      <c r="F1496" s="8">
        <v>6.67</v>
      </c>
      <c r="G1496" s="4">
        <v>0</v>
      </c>
      <c r="H1496" s="8">
        <v>0</v>
      </c>
      <c r="I1496" s="4">
        <v>0</v>
      </c>
    </row>
    <row r="1497" spans="1:9" x14ac:dyDescent="0.2">
      <c r="A1497" s="2">
        <v>6</v>
      </c>
      <c r="B1497" s="1" t="s">
        <v>210</v>
      </c>
      <c r="C1497" s="4">
        <v>7</v>
      </c>
      <c r="D1497" s="8">
        <v>2.8</v>
      </c>
      <c r="E1497" s="4">
        <v>1</v>
      </c>
      <c r="F1497" s="8">
        <v>0.83</v>
      </c>
      <c r="G1497" s="4">
        <v>6</v>
      </c>
      <c r="H1497" s="8">
        <v>4.96</v>
      </c>
      <c r="I1497" s="4">
        <v>0</v>
      </c>
    </row>
    <row r="1498" spans="1:9" x14ac:dyDescent="0.2">
      <c r="A1498" s="2">
        <v>6</v>
      </c>
      <c r="B1498" s="1" t="s">
        <v>179</v>
      </c>
      <c r="C1498" s="4">
        <v>7</v>
      </c>
      <c r="D1498" s="8">
        <v>2.8</v>
      </c>
      <c r="E1498" s="4">
        <v>1</v>
      </c>
      <c r="F1498" s="8">
        <v>0.83</v>
      </c>
      <c r="G1498" s="4">
        <v>6</v>
      </c>
      <c r="H1498" s="8">
        <v>4.96</v>
      </c>
      <c r="I1498" s="4">
        <v>0</v>
      </c>
    </row>
    <row r="1499" spans="1:9" x14ac:dyDescent="0.2">
      <c r="A1499" s="2">
        <v>8</v>
      </c>
      <c r="B1499" s="1" t="s">
        <v>158</v>
      </c>
      <c r="C1499" s="4">
        <v>6</v>
      </c>
      <c r="D1499" s="8">
        <v>2.4</v>
      </c>
      <c r="E1499" s="4">
        <v>2</v>
      </c>
      <c r="F1499" s="8">
        <v>1.67</v>
      </c>
      <c r="G1499" s="4">
        <v>4</v>
      </c>
      <c r="H1499" s="8">
        <v>3.31</v>
      </c>
      <c r="I1499" s="4">
        <v>0</v>
      </c>
    </row>
    <row r="1500" spans="1:9" x14ac:dyDescent="0.2">
      <c r="A1500" s="2">
        <v>9</v>
      </c>
      <c r="B1500" s="1" t="s">
        <v>153</v>
      </c>
      <c r="C1500" s="4">
        <v>5</v>
      </c>
      <c r="D1500" s="8">
        <v>2</v>
      </c>
      <c r="E1500" s="4">
        <v>2</v>
      </c>
      <c r="F1500" s="8">
        <v>1.67</v>
      </c>
      <c r="G1500" s="4">
        <v>3</v>
      </c>
      <c r="H1500" s="8">
        <v>2.48</v>
      </c>
      <c r="I1500" s="4">
        <v>0</v>
      </c>
    </row>
    <row r="1501" spans="1:9" x14ac:dyDescent="0.2">
      <c r="A1501" s="2">
        <v>9</v>
      </c>
      <c r="B1501" s="1" t="s">
        <v>195</v>
      </c>
      <c r="C1501" s="4">
        <v>5</v>
      </c>
      <c r="D1501" s="8">
        <v>2</v>
      </c>
      <c r="E1501" s="4">
        <v>4</v>
      </c>
      <c r="F1501" s="8">
        <v>3.33</v>
      </c>
      <c r="G1501" s="4">
        <v>1</v>
      </c>
      <c r="H1501" s="8">
        <v>0.83</v>
      </c>
      <c r="I1501" s="4">
        <v>0</v>
      </c>
    </row>
    <row r="1502" spans="1:9" x14ac:dyDescent="0.2">
      <c r="A1502" s="2">
        <v>9</v>
      </c>
      <c r="B1502" s="1" t="s">
        <v>189</v>
      </c>
      <c r="C1502" s="4">
        <v>5</v>
      </c>
      <c r="D1502" s="8">
        <v>2</v>
      </c>
      <c r="E1502" s="4">
        <v>0</v>
      </c>
      <c r="F1502" s="8">
        <v>0</v>
      </c>
      <c r="G1502" s="4">
        <v>5</v>
      </c>
      <c r="H1502" s="8">
        <v>4.13</v>
      </c>
      <c r="I1502" s="4">
        <v>0</v>
      </c>
    </row>
    <row r="1503" spans="1:9" x14ac:dyDescent="0.2">
      <c r="A1503" s="2">
        <v>9</v>
      </c>
      <c r="B1503" s="1" t="s">
        <v>196</v>
      </c>
      <c r="C1503" s="4">
        <v>5</v>
      </c>
      <c r="D1503" s="8">
        <v>2</v>
      </c>
      <c r="E1503" s="4">
        <v>4</v>
      </c>
      <c r="F1503" s="8">
        <v>3.33</v>
      </c>
      <c r="G1503" s="4">
        <v>1</v>
      </c>
      <c r="H1503" s="8">
        <v>0.83</v>
      </c>
      <c r="I1503" s="4">
        <v>0</v>
      </c>
    </row>
    <row r="1504" spans="1:9" x14ac:dyDescent="0.2">
      <c r="A1504" s="2">
        <v>9</v>
      </c>
      <c r="B1504" s="1" t="s">
        <v>170</v>
      </c>
      <c r="C1504" s="4">
        <v>5</v>
      </c>
      <c r="D1504" s="8">
        <v>2</v>
      </c>
      <c r="E1504" s="4">
        <v>2</v>
      </c>
      <c r="F1504" s="8">
        <v>1.67</v>
      </c>
      <c r="G1504" s="4">
        <v>2</v>
      </c>
      <c r="H1504" s="8">
        <v>1.65</v>
      </c>
      <c r="I1504" s="4">
        <v>1</v>
      </c>
    </row>
    <row r="1505" spans="1:9" x14ac:dyDescent="0.2">
      <c r="A1505" s="2">
        <v>14</v>
      </c>
      <c r="B1505" s="1" t="s">
        <v>154</v>
      </c>
      <c r="C1505" s="4">
        <v>4</v>
      </c>
      <c r="D1505" s="8">
        <v>1.6</v>
      </c>
      <c r="E1505" s="4">
        <v>1</v>
      </c>
      <c r="F1505" s="8">
        <v>0.83</v>
      </c>
      <c r="G1505" s="4">
        <v>3</v>
      </c>
      <c r="H1505" s="8">
        <v>2.48</v>
      </c>
      <c r="I1505" s="4">
        <v>0</v>
      </c>
    </row>
    <row r="1506" spans="1:9" x14ac:dyDescent="0.2">
      <c r="A1506" s="2">
        <v>14</v>
      </c>
      <c r="B1506" s="1" t="s">
        <v>181</v>
      </c>
      <c r="C1506" s="4">
        <v>4</v>
      </c>
      <c r="D1506" s="8">
        <v>1.6</v>
      </c>
      <c r="E1506" s="4">
        <v>4</v>
      </c>
      <c r="F1506" s="8">
        <v>3.33</v>
      </c>
      <c r="G1506" s="4">
        <v>0</v>
      </c>
      <c r="H1506" s="8">
        <v>0</v>
      </c>
      <c r="I1506" s="4">
        <v>0</v>
      </c>
    </row>
    <row r="1507" spans="1:9" x14ac:dyDescent="0.2">
      <c r="A1507" s="2">
        <v>14</v>
      </c>
      <c r="B1507" s="1" t="s">
        <v>157</v>
      </c>
      <c r="C1507" s="4">
        <v>4</v>
      </c>
      <c r="D1507" s="8">
        <v>1.6</v>
      </c>
      <c r="E1507" s="4">
        <v>3</v>
      </c>
      <c r="F1507" s="8">
        <v>2.5</v>
      </c>
      <c r="G1507" s="4">
        <v>1</v>
      </c>
      <c r="H1507" s="8">
        <v>0.83</v>
      </c>
      <c r="I1507" s="4">
        <v>0</v>
      </c>
    </row>
    <row r="1508" spans="1:9" x14ac:dyDescent="0.2">
      <c r="A1508" s="2">
        <v>14</v>
      </c>
      <c r="B1508" s="1" t="s">
        <v>233</v>
      </c>
      <c r="C1508" s="4">
        <v>4</v>
      </c>
      <c r="D1508" s="8">
        <v>1.6</v>
      </c>
      <c r="E1508" s="4">
        <v>0</v>
      </c>
      <c r="F1508" s="8">
        <v>0</v>
      </c>
      <c r="G1508" s="4">
        <v>4</v>
      </c>
      <c r="H1508" s="8">
        <v>3.31</v>
      </c>
      <c r="I1508" s="4">
        <v>0</v>
      </c>
    </row>
    <row r="1509" spans="1:9" x14ac:dyDescent="0.2">
      <c r="A1509" s="2">
        <v>14</v>
      </c>
      <c r="B1509" s="1" t="s">
        <v>172</v>
      </c>
      <c r="C1509" s="4">
        <v>4</v>
      </c>
      <c r="D1509" s="8">
        <v>1.6</v>
      </c>
      <c r="E1509" s="4">
        <v>2</v>
      </c>
      <c r="F1509" s="8">
        <v>1.67</v>
      </c>
      <c r="G1509" s="4">
        <v>2</v>
      </c>
      <c r="H1509" s="8">
        <v>1.65</v>
      </c>
      <c r="I1509" s="4">
        <v>0</v>
      </c>
    </row>
    <row r="1510" spans="1:9" x14ac:dyDescent="0.2">
      <c r="A1510" s="2">
        <v>14</v>
      </c>
      <c r="B1510" s="1" t="s">
        <v>238</v>
      </c>
      <c r="C1510" s="4">
        <v>4</v>
      </c>
      <c r="D1510" s="8">
        <v>1.6</v>
      </c>
      <c r="E1510" s="4">
        <v>1</v>
      </c>
      <c r="F1510" s="8">
        <v>0.83</v>
      </c>
      <c r="G1510" s="4">
        <v>3</v>
      </c>
      <c r="H1510" s="8">
        <v>2.48</v>
      </c>
      <c r="I1510" s="4">
        <v>0</v>
      </c>
    </row>
    <row r="1511" spans="1:9" x14ac:dyDescent="0.2">
      <c r="A1511" s="2">
        <v>14</v>
      </c>
      <c r="B1511" s="1" t="s">
        <v>182</v>
      </c>
      <c r="C1511" s="4">
        <v>4</v>
      </c>
      <c r="D1511" s="8">
        <v>1.6</v>
      </c>
      <c r="E1511" s="4">
        <v>3</v>
      </c>
      <c r="F1511" s="8">
        <v>2.5</v>
      </c>
      <c r="G1511" s="4">
        <v>1</v>
      </c>
      <c r="H1511" s="8">
        <v>0.83</v>
      </c>
      <c r="I1511" s="4">
        <v>0</v>
      </c>
    </row>
    <row r="1512" spans="1:9" x14ac:dyDescent="0.2">
      <c r="A1512" s="1"/>
      <c r="C1512" s="4"/>
      <c r="D1512" s="8"/>
      <c r="E1512" s="4"/>
      <c r="F1512" s="8"/>
      <c r="G1512" s="4"/>
      <c r="H1512" s="8"/>
      <c r="I1512" s="4"/>
    </row>
    <row r="1513" spans="1:9" x14ac:dyDescent="0.2">
      <c r="A1513" s="1" t="s">
        <v>67</v>
      </c>
      <c r="C1513" s="4"/>
      <c r="D1513" s="8"/>
      <c r="E1513" s="4"/>
      <c r="F1513" s="8"/>
      <c r="G1513" s="4"/>
      <c r="H1513" s="8"/>
      <c r="I1513" s="4"/>
    </row>
    <row r="1514" spans="1:9" x14ac:dyDescent="0.2">
      <c r="A1514" s="2">
        <v>1</v>
      </c>
      <c r="B1514" s="1" t="s">
        <v>190</v>
      </c>
      <c r="C1514" s="4">
        <v>12</v>
      </c>
      <c r="D1514" s="8">
        <v>6.49</v>
      </c>
      <c r="E1514" s="4">
        <v>3</v>
      </c>
      <c r="F1514" s="8">
        <v>2.88</v>
      </c>
      <c r="G1514" s="4">
        <v>9</v>
      </c>
      <c r="H1514" s="8">
        <v>11.84</v>
      </c>
      <c r="I1514" s="4">
        <v>0</v>
      </c>
    </row>
    <row r="1515" spans="1:9" x14ac:dyDescent="0.2">
      <c r="A1515" s="2">
        <v>2</v>
      </c>
      <c r="B1515" s="1" t="s">
        <v>157</v>
      </c>
      <c r="C1515" s="4">
        <v>7</v>
      </c>
      <c r="D1515" s="8">
        <v>3.78</v>
      </c>
      <c r="E1515" s="4">
        <v>5</v>
      </c>
      <c r="F1515" s="8">
        <v>4.8099999999999996</v>
      </c>
      <c r="G1515" s="4">
        <v>2</v>
      </c>
      <c r="H1515" s="8">
        <v>2.63</v>
      </c>
      <c r="I1515" s="4">
        <v>0</v>
      </c>
    </row>
    <row r="1516" spans="1:9" x14ac:dyDescent="0.2">
      <c r="A1516" s="2">
        <v>2</v>
      </c>
      <c r="B1516" s="1" t="s">
        <v>167</v>
      </c>
      <c r="C1516" s="4">
        <v>7</v>
      </c>
      <c r="D1516" s="8">
        <v>3.78</v>
      </c>
      <c r="E1516" s="4">
        <v>5</v>
      </c>
      <c r="F1516" s="8">
        <v>4.8099999999999996</v>
      </c>
      <c r="G1516" s="4">
        <v>2</v>
      </c>
      <c r="H1516" s="8">
        <v>2.63</v>
      </c>
      <c r="I1516" s="4">
        <v>0</v>
      </c>
    </row>
    <row r="1517" spans="1:9" x14ac:dyDescent="0.2">
      <c r="A1517" s="2">
        <v>4</v>
      </c>
      <c r="B1517" s="1" t="s">
        <v>174</v>
      </c>
      <c r="C1517" s="4">
        <v>6</v>
      </c>
      <c r="D1517" s="8">
        <v>3.24</v>
      </c>
      <c r="E1517" s="4">
        <v>4</v>
      </c>
      <c r="F1517" s="8">
        <v>3.85</v>
      </c>
      <c r="G1517" s="4">
        <v>2</v>
      </c>
      <c r="H1517" s="8">
        <v>2.63</v>
      </c>
      <c r="I1517" s="4">
        <v>0</v>
      </c>
    </row>
    <row r="1518" spans="1:9" x14ac:dyDescent="0.2">
      <c r="A1518" s="2">
        <v>4</v>
      </c>
      <c r="B1518" s="1" t="s">
        <v>245</v>
      </c>
      <c r="C1518" s="4">
        <v>6</v>
      </c>
      <c r="D1518" s="8">
        <v>3.24</v>
      </c>
      <c r="E1518" s="4">
        <v>5</v>
      </c>
      <c r="F1518" s="8">
        <v>4.8099999999999996</v>
      </c>
      <c r="G1518" s="4">
        <v>1</v>
      </c>
      <c r="H1518" s="8">
        <v>1.32</v>
      </c>
      <c r="I1518" s="4">
        <v>0</v>
      </c>
    </row>
    <row r="1519" spans="1:9" x14ac:dyDescent="0.2">
      <c r="A1519" s="2">
        <v>6</v>
      </c>
      <c r="B1519" s="1" t="s">
        <v>217</v>
      </c>
      <c r="C1519" s="4">
        <v>5</v>
      </c>
      <c r="D1519" s="8">
        <v>2.7</v>
      </c>
      <c r="E1519" s="4">
        <v>2</v>
      </c>
      <c r="F1519" s="8">
        <v>1.92</v>
      </c>
      <c r="G1519" s="4">
        <v>3</v>
      </c>
      <c r="H1519" s="8">
        <v>3.95</v>
      </c>
      <c r="I1519" s="4">
        <v>0</v>
      </c>
    </row>
    <row r="1520" spans="1:9" x14ac:dyDescent="0.2">
      <c r="A1520" s="2">
        <v>6</v>
      </c>
      <c r="B1520" s="1" t="s">
        <v>156</v>
      </c>
      <c r="C1520" s="4">
        <v>5</v>
      </c>
      <c r="D1520" s="8">
        <v>2.7</v>
      </c>
      <c r="E1520" s="4">
        <v>4</v>
      </c>
      <c r="F1520" s="8">
        <v>3.85</v>
      </c>
      <c r="G1520" s="4">
        <v>1</v>
      </c>
      <c r="H1520" s="8">
        <v>1.32</v>
      </c>
      <c r="I1520" s="4">
        <v>0</v>
      </c>
    </row>
    <row r="1521" spans="1:9" x14ac:dyDescent="0.2">
      <c r="A1521" s="2">
        <v>6</v>
      </c>
      <c r="B1521" s="1" t="s">
        <v>169</v>
      </c>
      <c r="C1521" s="4">
        <v>5</v>
      </c>
      <c r="D1521" s="8">
        <v>2.7</v>
      </c>
      <c r="E1521" s="4">
        <v>5</v>
      </c>
      <c r="F1521" s="8">
        <v>4.8099999999999996</v>
      </c>
      <c r="G1521" s="4">
        <v>0</v>
      </c>
      <c r="H1521" s="8">
        <v>0</v>
      </c>
      <c r="I1521" s="4">
        <v>0</v>
      </c>
    </row>
    <row r="1522" spans="1:9" x14ac:dyDescent="0.2">
      <c r="A1522" s="2">
        <v>9</v>
      </c>
      <c r="B1522" s="1" t="s">
        <v>152</v>
      </c>
      <c r="C1522" s="4">
        <v>4</v>
      </c>
      <c r="D1522" s="8">
        <v>2.16</v>
      </c>
      <c r="E1522" s="4">
        <v>3</v>
      </c>
      <c r="F1522" s="8">
        <v>2.88</v>
      </c>
      <c r="G1522" s="4">
        <v>1</v>
      </c>
      <c r="H1522" s="8">
        <v>1.32</v>
      </c>
      <c r="I1522" s="4">
        <v>0</v>
      </c>
    </row>
    <row r="1523" spans="1:9" x14ac:dyDescent="0.2">
      <c r="A1523" s="2">
        <v>9</v>
      </c>
      <c r="B1523" s="1" t="s">
        <v>224</v>
      </c>
      <c r="C1523" s="4">
        <v>4</v>
      </c>
      <c r="D1523" s="8">
        <v>2.16</v>
      </c>
      <c r="E1523" s="4">
        <v>3</v>
      </c>
      <c r="F1523" s="8">
        <v>2.88</v>
      </c>
      <c r="G1523" s="4">
        <v>1</v>
      </c>
      <c r="H1523" s="8">
        <v>1.32</v>
      </c>
      <c r="I1523" s="4">
        <v>0</v>
      </c>
    </row>
    <row r="1524" spans="1:9" x14ac:dyDescent="0.2">
      <c r="A1524" s="2">
        <v>9</v>
      </c>
      <c r="B1524" s="1" t="s">
        <v>215</v>
      </c>
      <c r="C1524" s="4">
        <v>4</v>
      </c>
      <c r="D1524" s="8">
        <v>2.16</v>
      </c>
      <c r="E1524" s="4">
        <v>2</v>
      </c>
      <c r="F1524" s="8">
        <v>1.92</v>
      </c>
      <c r="G1524" s="4">
        <v>2</v>
      </c>
      <c r="H1524" s="8">
        <v>2.63</v>
      </c>
      <c r="I1524" s="4">
        <v>0</v>
      </c>
    </row>
    <row r="1525" spans="1:9" x14ac:dyDescent="0.2">
      <c r="A1525" s="2">
        <v>9</v>
      </c>
      <c r="B1525" s="1" t="s">
        <v>198</v>
      </c>
      <c r="C1525" s="4">
        <v>4</v>
      </c>
      <c r="D1525" s="8">
        <v>2.16</v>
      </c>
      <c r="E1525" s="4">
        <v>4</v>
      </c>
      <c r="F1525" s="8">
        <v>3.85</v>
      </c>
      <c r="G1525" s="4">
        <v>0</v>
      </c>
      <c r="H1525" s="8">
        <v>0</v>
      </c>
      <c r="I1525" s="4">
        <v>0</v>
      </c>
    </row>
    <row r="1526" spans="1:9" x14ac:dyDescent="0.2">
      <c r="A1526" s="2">
        <v>13</v>
      </c>
      <c r="B1526" s="1" t="s">
        <v>242</v>
      </c>
      <c r="C1526" s="4">
        <v>3</v>
      </c>
      <c r="D1526" s="8">
        <v>1.62</v>
      </c>
      <c r="E1526" s="4">
        <v>3</v>
      </c>
      <c r="F1526" s="8">
        <v>2.88</v>
      </c>
      <c r="G1526" s="4">
        <v>0</v>
      </c>
      <c r="H1526" s="8">
        <v>0</v>
      </c>
      <c r="I1526" s="4">
        <v>0</v>
      </c>
    </row>
    <row r="1527" spans="1:9" x14ac:dyDescent="0.2">
      <c r="A1527" s="2">
        <v>13</v>
      </c>
      <c r="B1527" s="1" t="s">
        <v>231</v>
      </c>
      <c r="C1527" s="4">
        <v>3</v>
      </c>
      <c r="D1527" s="8">
        <v>1.62</v>
      </c>
      <c r="E1527" s="4">
        <v>1</v>
      </c>
      <c r="F1527" s="8">
        <v>0.96</v>
      </c>
      <c r="G1527" s="4">
        <v>2</v>
      </c>
      <c r="H1527" s="8">
        <v>2.63</v>
      </c>
      <c r="I1527" s="4">
        <v>0</v>
      </c>
    </row>
    <row r="1528" spans="1:9" x14ac:dyDescent="0.2">
      <c r="A1528" s="2">
        <v>13</v>
      </c>
      <c r="B1528" s="1" t="s">
        <v>182</v>
      </c>
      <c r="C1528" s="4">
        <v>3</v>
      </c>
      <c r="D1528" s="8">
        <v>1.62</v>
      </c>
      <c r="E1528" s="4">
        <v>3</v>
      </c>
      <c r="F1528" s="8">
        <v>2.88</v>
      </c>
      <c r="G1528" s="4">
        <v>0</v>
      </c>
      <c r="H1528" s="8">
        <v>0</v>
      </c>
      <c r="I1528" s="4">
        <v>0</v>
      </c>
    </row>
    <row r="1529" spans="1:9" x14ac:dyDescent="0.2">
      <c r="A1529" s="2">
        <v>13</v>
      </c>
      <c r="B1529" s="1" t="s">
        <v>168</v>
      </c>
      <c r="C1529" s="4">
        <v>3</v>
      </c>
      <c r="D1529" s="8">
        <v>1.62</v>
      </c>
      <c r="E1529" s="4">
        <v>3</v>
      </c>
      <c r="F1529" s="8">
        <v>2.88</v>
      </c>
      <c r="G1529" s="4">
        <v>0</v>
      </c>
      <c r="H1529" s="8">
        <v>0</v>
      </c>
      <c r="I1529" s="4">
        <v>0</v>
      </c>
    </row>
    <row r="1530" spans="1:9" x14ac:dyDescent="0.2">
      <c r="A1530" s="2">
        <v>13</v>
      </c>
      <c r="B1530" s="1" t="s">
        <v>173</v>
      </c>
      <c r="C1530" s="4">
        <v>3</v>
      </c>
      <c r="D1530" s="8">
        <v>1.62</v>
      </c>
      <c r="E1530" s="4">
        <v>0</v>
      </c>
      <c r="F1530" s="8">
        <v>0</v>
      </c>
      <c r="G1530" s="4">
        <v>3</v>
      </c>
      <c r="H1530" s="8">
        <v>3.95</v>
      </c>
      <c r="I1530" s="4">
        <v>0</v>
      </c>
    </row>
    <row r="1531" spans="1:9" x14ac:dyDescent="0.2">
      <c r="A1531" s="2">
        <v>18</v>
      </c>
      <c r="B1531" s="1" t="s">
        <v>239</v>
      </c>
      <c r="C1531" s="4">
        <v>2</v>
      </c>
      <c r="D1531" s="8">
        <v>1.08</v>
      </c>
      <c r="E1531" s="4">
        <v>0</v>
      </c>
      <c r="F1531" s="8">
        <v>0</v>
      </c>
      <c r="G1531" s="4">
        <v>2</v>
      </c>
      <c r="H1531" s="8">
        <v>2.63</v>
      </c>
      <c r="I1531" s="4">
        <v>0</v>
      </c>
    </row>
    <row r="1532" spans="1:9" x14ac:dyDescent="0.2">
      <c r="A1532" s="2">
        <v>18</v>
      </c>
      <c r="B1532" s="1" t="s">
        <v>226</v>
      </c>
      <c r="C1532" s="4">
        <v>2</v>
      </c>
      <c r="D1532" s="8">
        <v>1.08</v>
      </c>
      <c r="E1532" s="4">
        <v>2</v>
      </c>
      <c r="F1532" s="8">
        <v>1.92</v>
      </c>
      <c r="G1532" s="4">
        <v>0</v>
      </c>
      <c r="H1532" s="8">
        <v>0</v>
      </c>
      <c r="I1532" s="4">
        <v>0</v>
      </c>
    </row>
    <row r="1533" spans="1:9" x14ac:dyDescent="0.2">
      <c r="A1533" s="2">
        <v>18</v>
      </c>
      <c r="B1533" s="1" t="s">
        <v>153</v>
      </c>
      <c r="C1533" s="4">
        <v>2</v>
      </c>
      <c r="D1533" s="8">
        <v>1.08</v>
      </c>
      <c r="E1533" s="4">
        <v>1</v>
      </c>
      <c r="F1533" s="8">
        <v>0.96</v>
      </c>
      <c r="G1533" s="4">
        <v>1</v>
      </c>
      <c r="H1533" s="8">
        <v>1.32</v>
      </c>
      <c r="I1533" s="4">
        <v>0</v>
      </c>
    </row>
    <row r="1534" spans="1:9" x14ac:dyDescent="0.2">
      <c r="A1534" s="2">
        <v>18</v>
      </c>
      <c r="B1534" s="1" t="s">
        <v>240</v>
      </c>
      <c r="C1534" s="4">
        <v>2</v>
      </c>
      <c r="D1534" s="8">
        <v>1.08</v>
      </c>
      <c r="E1534" s="4">
        <v>2</v>
      </c>
      <c r="F1534" s="8">
        <v>1.92</v>
      </c>
      <c r="G1534" s="4">
        <v>0</v>
      </c>
      <c r="H1534" s="8">
        <v>0</v>
      </c>
      <c r="I1534" s="4">
        <v>0</v>
      </c>
    </row>
    <row r="1535" spans="1:9" x14ac:dyDescent="0.2">
      <c r="A1535" s="2">
        <v>18</v>
      </c>
      <c r="B1535" s="1" t="s">
        <v>241</v>
      </c>
      <c r="C1535" s="4">
        <v>2</v>
      </c>
      <c r="D1535" s="8">
        <v>1.08</v>
      </c>
      <c r="E1535" s="4">
        <v>0</v>
      </c>
      <c r="F1535" s="8">
        <v>0</v>
      </c>
      <c r="G1535" s="4">
        <v>2</v>
      </c>
      <c r="H1535" s="8">
        <v>2.63</v>
      </c>
      <c r="I1535" s="4">
        <v>0</v>
      </c>
    </row>
    <row r="1536" spans="1:9" x14ac:dyDescent="0.2">
      <c r="A1536" s="2">
        <v>18</v>
      </c>
      <c r="B1536" s="1" t="s">
        <v>175</v>
      </c>
      <c r="C1536" s="4">
        <v>2</v>
      </c>
      <c r="D1536" s="8">
        <v>1.08</v>
      </c>
      <c r="E1536" s="4">
        <v>2</v>
      </c>
      <c r="F1536" s="8">
        <v>1.92</v>
      </c>
      <c r="G1536" s="4">
        <v>0</v>
      </c>
      <c r="H1536" s="8">
        <v>0</v>
      </c>
      <c r="I1536" s="4">
        <v>0</v>
      </c>
    </row>
    <row r="1537" spans="1:9" x14ac:dyDescent="0.2">
      <c r="A1537" s="2">
        <v>18</v>
      </c>
      <c r="B1537" s="1" t="s">
        <v>243</v>
      </c>
      <c r="C1537" s="4">
        <v>2</v>
      </c>
      <c r="D1537" s="8">
        <v>1.08</v>
      </c>
      <c r="E1537" s="4">
        <v>2</v>
      </c>
      <c r="F1537" s="8">
        <v>1.92</v>
      </c>
      <c r="G1537" s="4">
        <v>0</v>
      </c>
      <c r="H1537" s="8">
        <v>0</v>
      </c>
      <c r="I1537" s="4">
        <v>0</v>
      </c>
    </row>
    <row r="1538" spans="1:9" x14ac:dyDescent="0.2">
      <c r="A1538" s="2">
        <v>18</v>
      </c>
      <c r="B1538" s="1" t="s">
        <v>244</v>
      </c>
      <c r="C1538" s="4">
        <v>2</v>
      </c>
      <c r="D1538" s="8">
        <v>1.08</v>
      </c>
      <c r="E1538" s="4">
        <v>0</v>
      </c>
      <c r="F1538" s="8">
        <v>0</v>
      </c>
      <c r="G1538" s="4">
        <v>2</v>
      </c>
      <c r="H1538" s="8">
        <v>2.63</v>
      </c>
      <c r="I1538" s="4">
        <v>0</v>
      </c>
    </row>
    <row r="1539" spans="1:9" x14ac:dyDescent="0.2">
      <c r="A1539" s="2">
        <v>18</v>
      </c>
      <c r="B1539" s="1" t="s">
        <v>179</v>
      </c>
      <c r="C1539" s="4">
        <v>2</v>
      </c>
      <c r="D1539" s="8">
        <v>1.08</v>
      </c>
      <c r="E1539" s="4">
        <v>0</v>
      </c>
      <c r="F1539" s="8">
        <v>0</v>
      </c>
      <c r="G1539" s="4">
        <v>2</v>
      </c>
      <c r="H1539" s="8">
        <v>2.63</v>
      </c>
      <c r="I1539" s="4">
        <v>0</v>
      </c>
    </row>
    <row r="1540" spans="1:9" x14ac:dyDescent="0.2">
      <c r="A1540" s="2">
        <v>18</v>
      </c>
      <c r="B1540" s="1" t="s">
        <v>181</v>
      </c>
      <c r="C1540" s="4">
        <v>2</v>
      </c>
      <c r="D1540" s="8">
        <v>1.08</v>
      </c>
      <c r="E1540" s="4">
        <v>2</v>
      </c>
      <c r="F1540" s="8">
        <v>1.92</v>
      </c>
      <c r="G1540" s="4">
        <v>0</v>
      </c>
      <c r="H1540" s="8">
        <v>0</v>
      </c>
      <c r="I1540" s="4">
        <v>0</v>
      </c>
    </row>
    <row r="1541" spans="1:9" x14ac:dyDescent="0.2">
      <c r="A1541" s="2">
        <v>18</v>
      </c>
      <c r="B1541" s="1" t="s">
        <v>195</v>
      </c>
      <c r="C1541" s="4">
        <v>2</v>
      </c>
      <c r="D1541" s="8">
        <v>1.08</v>
      </c>
      <c r="E1541" s="4">
        <v>2</v>
      </c>
      <c r="F1541" s="8">
        <v>1.92</v>
      </c>
      <c r="G1541" s="4">
        <v>0</v>
      </c>
      <c r="H1541" s="8">
        <v>0</v>
      </c>
      <c r="I1541" s="4">
        <v>0</v>
      </c>
    </row>
    <row r="1542" spans="1:9" x14ac:dyDescent="0.2">
      <c r="A1542" s="2">
        <v>18</v>
      </c>
      <c r="B1542" s="1" t="s">
        <v>160</v>
      </c>
      <c r="C1542" s="4">
        <v>2</v>
      </c>
      <c r="D1542" s="8">
        <v>1.08</v>
      </c>
      <c r="E1542" s="4">
        <v>1</v>
      </c>
      <c r="F1542" s="8">
        <v>0.96</v>
      </c>
      <c r="G1542" s="4">
        <v>1</v>
      </c>
      <c r="H1542" s="8">
        <v>1.32</v>
      </c>
      <c r="I1542" s="4">
        <v>0</v>
      </c>
    </row>
    <row r="1543" spans="1:9" x14ac:dyDescent="0.2">
      <c r="A1543" s="2">
        <v>18</v>
      </c>
      <c r="B1543" s="1" t="s">
        <v>172</v>
      </c>
      <c r="C1543" s="4">
        <v>2</v>
      </c>
      <c r="D1543" s="8">
        <v>1.08</v>
      </c>
      <c r="E1543" s="4">
        <v>0</v>
      </c>
      <c r="F1543" s="8">
        <v>0</v>
      </c>
      <c r="G1543" s="4">
        <v>2</v>
      </c>
      <c r="H1543" s="8">
        <v>2.63</v>
      </c>
      <c r="I1543" s="4">
        <v>0</v>
      </c>
    </row>
    <row r="1544" spans="1:9" x14ac:dyDescent="0.2">
      <c r="A1544" s="2">
        <v>18</v>
      </c>
      <c r="B1544" s="1" t="s">
        <v>246</v>
      </c>
      <c r="C1544" s="4">
        <v>2</v>
      </c>
      <c r="D1544" s="8">
        <v>1.08</v>
      </c>
      <c r="E1544" s="4">
        <v>1</v>
      </c>
      <c r="F1544" s="8">
        <v>0.96</v>
      </c>
      <c r="G1544" s="4">
        <v>1</v>
      </c>
      <c r="H1544" s="8">
        <v>1.32</v>
      </c>
      <c r="I1544" s="4">
        <v>0</v>
      </c>
    </row>
    <row r="1545" spans="1:9" x14ac:dyDescent="0.2">
      <c r="A1545" s="2">
        <v>18</v>
      </c>
      <c r="B1545" s="1" t="s">
        <v>247</v>
      </c>
      <c r="C1545" s="4">
        <v>2</v>
      </c>
      <c r="D1545" s="8">
        <v>1.08</v>
      </c>
      <c r="E1545" s="4">
        <v>2</v>
      </c>
      <c r="F1545" s="8">
        <v>1.92</v>
      </c>
      <c r="G1545" s="4">
        <v>0</v>
      </c>
      <c r="H1545" s="8">
        <v>0</v>
      </c>
      <c r="I1545" s="4">
        <v>0</v>
      </c>
    </row>
    <row r="1546" spans="1:9" x14ac:dyDescent="0.2">
      <c r="A1546" s="2">
        <v>18</v>
      </c>
      <c r="B1546" s="1" t="s">
        <v>248</v>
      </c>
      <c r="C1546" s="4">
        <v>2</v>
      </c>
      <c r="D1546" s="8">
        <v>1.08</v>
      </c>
      <c r="E1546" s="4">
        <v>1</v>
      </c>
      <c r="F1546" s="8">
        <v>0.96</v>
      </c>
      <c r="G1546" s="4">
        <v>0</v>
      </c>
      <c r="H1546" s="8">
        <v>0</v>
      </c>
      <c r="I1546" s="4">
        <v>0</v>
      </c>
    </row>
    <row r="1547" spans="1:9" x14ac:dyDescent="0.2">
      <c r="A1547" s="2">
        <v>18</v>
      </c>
      <c r="B1547" s="1" t="s">
        <v>249</v>
      </c>
      <c r="C1547" s="4">
        <v>2</v>
      </c>
      <c r="D1547" s="8">
        <v>1.08</v>
      </c>
      <c r="E1547" s="4">
        <v>0</v>
      </c>
      <c r="F1547" s="8">
        <v>0</v>
      </c>
      <c r="G1547" s="4">
        <v>1</v>
      </c>
      <c r="H1547" s="8">
        <v>1.32</v>
      </c>
      <c r="I1547" s="4">
        <v>0</v>
      </c>
    </row>
    <row r="1548" spans="1:9" x14ac:dyDescent="0.2">
      <c r="A1548" s="2">
        <v>18</v>
      </c>
      <c r="B1548" s="1" t="s">
        <v>250</v>
      </c>
      <c r="C1548" s="4">
        <v>2</v>
      </c>
      <c r="D1548" s="8">
        <v>1.08</v>
      </c>
      <c r="E1548" s="4">
        <v>2</v>
      </c>
      <c r="F1548" s="8">
        <v>1.92</v>
      </c>
      <c r="G1548" s="4">
        <v>0</v>
      </c>
      <c r="H1548" s="8">
        <v>0</v>
      </c>
      <c r="I1548" s="4">
        <v>0</v>
      </c>
    </row>
    <row r="1549" spans="1:9" x14ac:dyDescent="0.2">
      <c r="A1549" s="1"/>
      <c r="C1549" s="4"/>
      <c r="D1549" s="8"/>
      <c r="E1549" s="4"/>
      <c r="F1549" s="8"/>
      <c r="G1549" s="4"/>
      <c r="H1549" s="8"/>
      <c r="I1549" s="4"/>
    </row>
    <row r="1550" spans="1:9" x14ac:dyDescent="0.2">
      <c r="A1550" s="1" t="s">
        <v>68</v>
      </c>
      <c r="C1550" s="4"/>
      <c r="D1550" s="8"/>
      <c r="E1550" s="4"/>
      <c r="F1550" s="8"/>
      <c r="G1550" s="4"/>
      <c r="H1550" s="8"/>
      <c r="I1550" s="4"/>
    </row>
    <row r="1551" spans="1:9" x14ac:dyDescent="0.2">
      <c r="A1551" s="2">
        <v>1</v>
      </c>
      <c r="B1551" s="1" t="s">
        <v>171</v>
      </c>
      <c r="C1551" s="4">
        <v>14</v>
      </c>
      <c r="D1551" s="8">
        <v>4.08</v>
      </c>
      <c r="E1551" s="4">
        <v>11</v>
      </c>
      <c r="F1551" s="8">
        <v>6.15</v>
      </c>
      <c r="G1551" s="4">
        <v>3</v>
      </c>
      <c r="H1551" s="8">
        <v>1.86</v>
      </c>
      <c r="I1551" s="4">
        <v>0</v>
      </c>
    </row>
    <row r="1552" spans="1:9" x14ac:dyDescent="0.2">
      <c r="A1552" s="2">
        <v>2</v>
      </c>
      <c r="B1552" s="1" t="s">
        <v>159</v>
      </c>
      <c r="C1552" s="4">
        <v>12</v>
      </c>
      <c r="D1552" s="8">
        <v>3.5</v>
      </c>
      <c r="E1552" s="4">
        <v>0</v>
      </c>
      <c r="F1552" s="8">
        <v>0</v>
      </c>
      <c r="G1552" s="4">
        <v>12</v>
      </c>
      <c r="H1552" s="8">
        <v>7.45</v>
      </c>
      <c r="I1552" s="4">
        <v>0</v>
      </c>
    </row>
    <row r="1553" spans="1:9" x14ac:dyDescent="0.2">
      <c r="A1553" s="2">
        <v>2</v>
      </c>
      <c r="B1553" s="1" t="s">
        <v>169</v>
      </c>
      <c r="C1553" s="4">
        <v>12</v>
      </c>
      <c r="D1553" s="8">
        <v>3.5</v>
      </c>
      <c r="E1553" s="4">
        <v>12</v>
      </c>
      <c r="F1553" s="8">
        <v>6.7</v>
      </c>
      <c r="G1553" s="4">
        <v>0</v>
      </c>
      <c r="H1553" s="8">
        <v>0</v>
      </c>
      <c r="I1553" s="4">
        <v>0</v>
      </c>
    </row>
    <row r="1554" spans="1:9" x14ac:dyDescent="0.2">
      <c r="A1554" s="2">
        <v>4</v>
      </c>
      <c r="B1554" s="1" t="s">
        <v>157</v>
      </c>
      <c r="C1554" s="4">
        <v>11</v>
      </c>
      <c r="D1554" s="8">
        <v>3.21</v>
      </c>
      <c r="E1554" s="4">
        <v>9</v>
      </c>
      <c r="F1554" s="8">
        <v>5.03</v>
      </c>
      <c r="G1554" s="4">
        <v>2</v>
      </c>
      <c r="H1554" s="8">
        <v>1.24</v>
      </c>
      <c r="I1554" s="4">
        <v>0</v>
      </c>
    </row>
    <row r="1555" spans="1:9" x14ac:dyDescent="0.2">
      <c r="A1555" s="2">
        <v>5</v>
      </c>
      <c r="B1555" s="1" t="s">
        <v>198</v>
      </c>
      <c r="C1555" s="4">
        <v>10</v>
      </c>
      <c r="D1555" s="8">
        <v>2.92</v>
      </c>
      <c r="E1555" s="4">
        <v>7</v>
      </c>
      <c r="F1555" s="8">
        <v>3.91</v>
      </c>
      <c r="G1555" s="4">
        <v>3</v>
      </c>
      <c r="H1555" s="8">
        <v>1.86</v>
      </c>
      <c r="I1555" s="4">
        <v>0</v>
      </c>
    </row>
    <row r="1556" spans="1:9" x14ac:dyDescent="0.2">
      <c r="A1556" s="2">
        <v>6</v>
      </c>
      <c r="B1556" s="1" t="s">
        <v>205</v>
      </c>
      <c r="C1556" s="4">
        <v>9</v>
      </c>
      <c r="D1556" s="8">
        <v>2.62</v>
      </c>
      <c r="E1556" s="4">
        <v>5</v>
      </c>
      <c r="F1556" s="8">
        <v>2.79</v>
      </c>
      <c r="G1556" s="4">
        <v>4</v>
      </c>
      <c r="H1556" s="8">
        <v>2.48</v>
      </c>
      <c r="I1556" s="4">
        <v>0</v>
      </c>
    </row>
    <row r="1557" spans="1:9" x14ac:dyDescent="0.2">
      <c r="A1557" s="2">
        <v>6</v>
      </c>
      <c r="B1557" s="1" t="s">
        <v>164</v>
      </c>
      <c r="C1557" s="4">
        <v>9</v>
      </c>
      <c r="D1557" s="8">
        <v>2.62</v>
      </c>
      <c r="E1557" s="4">
        <v>9</v>
      </c>
      <c r="F1557" s="8">
        <v>5.03</v>
      </c>
      <c r="G1557" s="4">
        <v>0</v>
      </c>
      <c r="H1557" s="8">
        <v>0</v>
      </c>
      <c r="I1557" s="4">
        <v>0</v>
      </c>
    </row>
    <row r="1558" spans="1:9" x14ac:dyDescent="0.2">
      <c r="A1558" s="2">
        <v>6</v>
      </c>
      <c r="B1558" s="1" t="s">
        <v>168</v>
      </c>
      <c r="C1558" s="4">
        <v>9</v>
      </c>
      <c r="D1558" s="8">
        <v>2.62</v>
      </c>
      <c r="E1558" s="4">
        <v>9</v>
      </c>
      <c r="F1558" s="8">
        <v>5.03</v>
      </c>
      <c r="G1558" s="4">
        <v>0</v>
      </c>
      <c r="H1558" s="8">
        <v>0</v>
      </c>
      <c r="I1558" s="4">
        <v>0</v>
      </c>
    </row>
    <row r="1559" spans="1:9" x14ac:dyDescent="0.2">
      <c r="A1559" s="2">
        <v>9</v>
      </c>
      <c r="B1559" s="1" t="s">
        <v>174</v>
      </c>
      <c r="C1559" s="4">
        <v>8</v>
      </c>
      <c r="D1559" s="8">
        <v>2.33</v>
      </c>
      <c r="E1559" s="4">
        <v>1</v>
      </c>
      <c r="F1559" s="8">
        <v>0.56000000000000005</v>
      </c>
      <c r="G1559" s="4">
        <v>7</v>
      </c>
      <c r="H1559" s="8">
        <v>4.3499999999999996</v>
      </c>
      <c r="I1559" s="4">
        <v>0</v>
      </c>
    </row>
    <row r="1560" spans="1:9" x14ac:dyDescent="0.2">
      <c r="A1560" s="2">
        <v>9</v>
      </c>
      <c r="B1560" s="1" t="s">
        <v>251</v>
      </c>
      <c r="C1560" s="4">
        <v>8</v>
      </c>
      <c r="D1560" s="8">
        <v>2.33</v>
      </c>
      <c r="E1560" s="4">
        <v>4</v>
      </c>
      <c r="F1560" s="8">
        <v>2.23</v>
      </c>
      <c r="G1560" s="4">
        <v>4</v>
      </c>
      <c r="H1560" s="8">
        <v>2.48</v>
      </c>
      <c r="I1560" s="4">
        <v>0</v>
      </c>
    </row>
    <row r="1561" spans="1:9" x14ac:dyDescent="0.2">
      <c r="A1561" s="2">
        <v>11</v>
      </c>
      <c r="B1561" s="1" t="s">
        <v>153</v>
      </c>
      <c r="C1561" s="4">
        <v>7</v>
      </c>
      <c r="D1561" s="8">
        <v>2.04</v>
      </c>
      <c r="E1561" s="4">
        <v>1</v>
      </c>
      <c r="F1561" s="8">
        <v>0.56000000000000005</v>
      </c>
      <c r="G1561" s="4">
        <v>6</v>
      </c>
      <c r="H1561" s="8">
        <v>3.73</v>
      </c>
      <c r="I1561" s="4">
        <v>0</v>
      </c>
    </row>
    <row r="1562" spans="1:9" x14ac:dyDescent="0.2">
      <c r="A1562" s="2">
        <v>11</v>
      </c>
      <c r="B1562" s="1" t="s">
        <v>156</v>
      </c>
      <c r="C1562" s="4">
        <v>7</v>
      </c>
      <c r="D1562" s="8">
        <v>2.04</v>
      </c>
      <c r="E1562" s="4">
        <v>5</v>
      </c>
      <c r="F1562" s="8">
        <v>2.79</v>
      </c>
      <c r="G1562" s="4">
        <v>2</v>
      </c>
      <c r="H1562" s="8">
        <v>1.24</v>
      </c>
      <c r="I1562" s="4">
        <v>0</v>
      </c>
    </row>
    <row r="1563" spans="1:9" x14ac:dyDescent="0.2">
      <c r="A1563" s="2">
        <v>11</v>
      </c>
      <c r="B1563" s="1" t="s">
        <v>160</v>
      </c>
      <c r="C1563" s="4">
        <v>7</v>
      </c>
      <c r="D1563" s="8">
        <v>2.04</v>
      </c>
      <c r="E1563" s="4">
        <v>1</v>
      </c>
      <c r="F1563" s="8">
        <v>0.56000000000000005</v>
      </c>
      <c r="G1563" s="4">
        <v>6</v>
      </c>
      <c r="H1563" s="8">
        <v>3.73</v>
      </c>
      <c r="I1563" s="4">
        <v>0</v>
      </c>
    </row>
    <row r="1564" spans="1:9" x14ac:dyDescent="0.2">
      <c r="A1564" s="2">
        <v>11</v>
      </c>
      <c r="B1564" s="1" t="s">
        <v>165</v>
      </c>
      <c r="C1564" s="4">
        <v>7</v>
      </c>
      <c r="D1564" s="8">
        <v>2.04</v>
      </c>
      <c r="E1564" s="4">
        <v>7</v>
      </c>
      <c r="F1564" s="8">
        <v>3.91</v>
      </c>
      <c r="G1564" s="4">
        <v>0</v>
      </c>
      <c r="H1564" s="8">
        <v>0</v>
      </c>
      <c r="I1564" s="4">
        <v>0</v>
      </c>
    </row>
    <row r="1565" spans="1:9" x14ac:dyDescent="0.2">
      <c r="A1565" s="2">
        <v>15</v>
      </c>
      <c r="B1565" s="1" t="s">
        <v>152</v>
      </c>
      <c r="C1565" s="4">
        <v>6</v>
      </c>
      <c r="D1565" s="8">
        <v>1.75</v>
      </c>
      <c r="E1565" s="4">
        <v>1</v>
      </c>
      <c r="F1565" s="8">
        <v>0.56000000000000005</v>
      </c>
      <c r="G1565" s="4">
        <v>5</v>
      </c>
      <c r="H1565" s="8">
        <v>3.11</v>
      </c>
      <c r="I1565" s="4">
        <v>0</v>
      </c>
    </row>
    <row r="1566" spans="1:9" x14ac:dyDescent="0.2">
      <c r="A1566" s="2">
        <v>15</v>
      </c>
      <c r="B1566" s="1" t="s">
        <v>229</v>
      </c>
      <c r="C1566" s="4">
        <v>6</v>
      </c>
      <c r="D1566" s="8">
        <v>1.75</v>
      </c>
      <c r="E1566" s="4">
        <v>3</v>
      </c>
      <c r="F1566" s="8">
        <v>1.68</v>
      </c>
      <c r="G1566" s="4">
        <v>3</v>
      </c>
      <c r="H1566" s="8">
        <v>1.86</v>
      </c>
      <c r="I1566" s="4">
        <v>0</v>
      </c>
    </row>
    <row r="1567" spans="1:9" x14ac:dyDescent="0.2">
      <c r="A1567" s="2">
        <v>15</v>
      </c>
      <c r="B1567" s="1" t="s">
        <v>155</v>
      </c>
      <c r="C1567" s="4">
        <v>6</v>
      </c>
      <c r="D1567" s="8">
        <v>1.75</v>
      </c>
      <c r="E1567" s="4">
        <v>5</v>
      </c>
      <c r="F1567" s="8">
        <v>2.79</v>
      </c>
      <c r="G1567" s="4">
        <v>1</v>
      </c>
      <c r="H1567" s="8">
        <v>0.62</v>
      </c>
      <c r="I1567" s="4">
        <v>0</v>
      </c>
    </row>
    <row r="1568" spans="1:9" x14ac:dyDescent="0.2">
      <c r="A1568" s="2">
        <v>15</v>
      </c>
      <c r="B1568" s="1" t="s">
        <v>195</v>
      </c>
      <c r="C1568" s="4">
        <v>6</v>
      </c>
      <c r="D1568" s="8">
        <v>1.75</v>
      </c>
      <c r="E1568" s="4">
        <v>4</v>
      </c>
      <c r="F1568" s="8">
        <v>2.23</v>
      </c>
      <c r="G1568" s="4">
        <v>2</v>
      </c>
      <c r="H1568" s="8">
        <v>1.24</v>
      </c>
      <c r="I1568" s="4">
        <v>0</v>
      </c>
    </row>
    <row r="1569" spans="1:9" x14ac:dyDescent="0.2">
      <c r="A1569" s="2">
        <v>15</v>
      </c>
      <c r="B1569" s="1" t="s">
        <v>166</v>
      </c>
      <c r="C1569" s="4">
        <v>6</v>
      </c>
      <c r="D1569" s="8">
        <v>1.75</v>
      </c>
      <c r="E1569" s="4">
        <v>6</v>
      </c>
      <c r="F1569" s="8">
        <v>3.35</v>
      </c>
      <c r="G1569" s="4">
        <v>0</v>
      </c>
      <c r="H1569" s="8">
        <v>0</v>
      </c>
      <c r="I1569" s="4">
        <v>0</v>
      </c>
    </row>
    <row r="1570" spans="1:9" x14ac:dyDescent="0.2">
      <c r="A1570" s="2">
        <v>20</v>
      </c>
      <c r="B1570" s="1" t="s">
        <v>215</v>
      </c>
      <c r="C1570" s="4">
        <v>5</v>
      </c>
      <c r="D1570" s="8">
        <v>1.46</v>
      </c>
      <c r="E1570" s="4">
        <v>3</v>
      </c>
      <c r="F1570" s="8">
        <v>1.68</v>
      </c>
      <c r="G1570" s="4">
        <v>2</v>
      </c>
      <c r="H1570" s="8">
        <v>1.24</v>
      </c>
      <c r="I1570" s="4">
        <v>0</v>
      </c>
    </row>
    <row r="1571" spans="1:9" x14ac:dyDescent="0.2">
      <c r="A1571" s="2">
        <v>20</v>
      </c>
      <c r="B1571" s="1" t="s">
        <v>176</v>
      </c>
      <c r="C1571" s="4">
        <v>5</v>
      </c>
      <c r="D1571" s="8">
        <v>1.46</v>
      </c>
      <c r="E1571" s="4">
        <v>3</v>
      </c>
      <c r="F1571" s="8">
        <v>1.68</v>
      </c>
      <c r="G1571" s="4">
        <v>2</v>
      </c>
      <c r="H1571" s="8">
        <v>1.24</v>
      </c>
      <c r="I1571" s="4">
        <v>0</v>
      </c>
    </row>
    <row r="1572" spans="1:9" x14ac:dyDescent="0.2">
      <c r="A1572" s="1"/>
      <c r="C1572" s="4"/>
      <c r="D1572" s="8"/>
      <c r="E1572" s="4"/>
      <c r="F1572" s="8"/>
      <c r="G1572" s="4"/>
      <c r="H1572" s="8"/>
      <c r="I1572" s="4"/>
    </row>
    <row r="1573" spans="1:9" x14ac:dyDescent="0.2">
      <c r="A1573" s="1" t="s">
        <v>69</v>
      </c>
      <c r="C1573" s="4"/>
      <c r="D1573" s="8"/>
      <c r="E1573" s="4"/>
      <c r="F1573" s="8"/>
      <c r="G1573" s="4"/>
      <c r="H1573" s="8"/>
      <c r="I1573" s="4"/>
    </row>
    <row r="1574" spans="1:9" x14ac:dyDescent="0.2">
      <c r="A1574" s="2">
        <v>1</v>
      </c>
      <c r="B1574" s="1" t="s">
        <v>169</v>
      </c>
      <c r="C1574" s="4">
        <v>41</v>
      </c>
      <c r="D1574" s="8">
        <v>5.37</v>
      </c>
      <c r="E1574" s="4">
        <v>40</v>
      </c>
      <c r="F1574" s="8">
        <v>8.49</v>
      </c>
      <c r="G1574" s="4">
        <v>1</v>
      </c>
      <c r="H1574" s="8">
        <v>0.35</v>
      </c>
      <c r="I1574" s="4">
        <v>0</v>
      </c>
    </row>
    <row r="1575" spans="1:9" x14ac:dyDescent="0.2">
      <c r="A1575" s="2">
        <v>2</v>
      </c>
      <c r="B1575" s="1" t="s">
        <v>160</v>
      </c>
      <c r="C1575" s="4">
        <v>39</v>
      </c>
      <c r="D1575" s="8">
        <v>5.0999999999999996</v>
      </c>
      <c r="E1575" s="4">
        <v>19</v>
      </c>
      <c r="F1575" s="8">
        <v>4.03</v>
      </c>
      <c r="G1575" s="4">
        <v>20</v>
      </c>
      <c r="H1575" s="8">
        <v>6.99</v>
      </c>
      <c r="I1575" s="4">
        <v>0</v>
      </c>
    </row>
    <row r="1576" spans="1:9" x14ac:dyDescent="0.2">
      <c r="A1576" s="2">
        <v>3</v>
      </c>
      <c r="B1576" s="1" t="s">
        <v>229</v>
      </c>
      <c r="C1576" s="4">
        <v>29</v>
      </c>
      <c r="D1576" s="8">
        <v>3.8</v>
      </c>
      <c r="E1576" s="4">
        <v>20</v>
      </c>
      <c r="F1576" s="8">
        <v>4.25</v>
      </c>
      <c r="G1576" s="4">
        <v>9</v>
      </c>
      <c r="H1576" s="8">
        <v>3.15</v>
      </c>
      <c r="I1576" s="4">
        <v>0</v>
      </c>
    </row>
    <row r="1577" spans="1:9" x14ac:dyDescent="0.2">
      <c r="A1577" s="2">
        <v>3</v>
      </c>
      <c r="B1577" s="1" t="s">
        <v>170</v>
      </c>
      <c r="C1577" s="4">
        <v>29</v>
      </c>
      <c r="D1577" s="8">
        <v>3.8</v>
      </c>
      <c r="E1577" s="4">
        <v>26</v>
      </c>
      <c r="F1577" s="8">
        <v>5.52</v>
      </c>
      <c r="G1577" s="4">
        <v>3</v>
      </c>
      <c r="H1577" s="8">
        <v>1.05</v>
      </c>
      <c r="I1577" s="4">
        <v>0</v>
      </c>
    </row>
    <row r="1578" spans="1:9" x14ac:dyDescent="0.2">
      <c r="A1578" s="2">
        <v>5</v>
      </c>
      <c r="B1578" s="1" t="s">
        <v>161</v>
      </c>
      <c r="C1578" s="4">
        <v>27</v>
      </c>
      <c r="D1578" s="8">
        <v>3.53</v>
      </c>
      <c r="E1578" s="4">
        <v>24</v>
      </c>
      <c r="F1578" s="8">
        <v>5.0999999999999996</v>
      </c>
      <c r="G1578" s="4">
        <v>3</v>
      </c>
      <c r="H1578" s="8">
        <v>1.05</v>
      </c>
      <c r="I1578" s="4">
        <v>0</v>
      </c>
    </row>
    <row r="1579" spans="1:9" x14ac:dyDescent="0.2">
      <c r="A1579" s="2">
        <v>6</v>
      </c>
      <c r="B1579" s="1" t="s">
        <v>190</v>
      </c>
      <c r="C1579" s="4">
        <v>25</v>
      </c>
      <c r="D1579" s="8">
        <v>3.27</v>
      </c>
      <c r="E1579" s="4">
        <v>9</v>
      </c>
      <c r="F1579" s="8">
        <v>1.91</v>
      </c>
      <c r="G1579" s="4">
        <v>16</v>
      </c>
      <c r="H1579" s="8">
        <v>5.59</v>
      </c>
      <c r="I1579" s="4">
        <v>0</v>
      </c>
    </row>
    <row r="1580" spans="1:9" x14ac:dyDescent="0.2">
      <c r="A1580" s="2">
        <v>7</v>
      </c>
      <c r="B1580" s="1" t="s">
        <v>171</v>
      </c>
      <c r="C1580" s="4">
        <v>22</v>
      </c>
      <c r="D1580" s="8">
        <v>2.88</v>
      </c>
      <c r="E1580" s="4">
        <v>15</v>
      </c>
      <c r="F1580" s="8">
        <v>3.18</v>
      </c>
      <c r="G1580" s="4">
        <v>7</v>
      </c>
      <c r="H1580" s="8">
        <v>2.4500000000000002</v>
      </c>
      <c r="I1580" s="4">
        <v>0</v>
      </c>
    </row>
    <row r="1581" spans="1:9" x14ac:dyDescent="0.2">
      <c r="A1581" s="2">
        <v>8</v>
      </c>
      <c r="B1581" s="1" t="s">
        <v>167</v>
      </c>
      <c r="C1581" s="4">
        <v>20</v>
      </c>
      <c r="D1581" s="8">
        <v>2.62</v>
      </c>
      <c r="E1581" s="4">
        <v>20</v>
      </c>
      <c r="F1581" s="8">
        <v>4.25</v>
      </c>
      <c r="G1581" s="4">
        <v>0</v>
      </c>
      <c r="H1581" s="8">
        <v>0</v>
      </c>
      <c r="I1581" s="4">
        <v>0</v>
      </c>
    </row>
    <row r="1582" spans="1:9" x14ac:dyDescent="0.2">
      <c r="A1582" s="2">
        <v>8</v>
      </c>
      <c r="B1582" s="1" t="s">
        <v>168</v>
      </c>
      <c r="C1582" s="4">
        <v>20</v>
      </c>
      <c r="D1582" s="8">
        <v>2.62</v>
      </c>
      <c r="E1582" s="4">
        <v>20</v>
      </c>
      <c r="F1582" s="8">
        <v>4.25</v>
      </c>
      <c r="G1582" s="4">
        <v>0</v>
      </c>
      <c r="H1582" s="8">
        <v>0</v>
      </c>
      <c r="I1582" s="4">
        <v>0</v>
      </c>
    </row>
    <row r="1583" spans="1:9" x14ac:dyDescent="0.2">
      <c r="A1583" s="2">
        <v>10</v>
      </c>
      <c r="B1583" s="1" t="s">
        <v>215</v>
      </c>
      <c r="C1583" s="4">
        <v>18</v>
      </c>
      <c r="D1583" s="8">
        <v>2.36</v>
      </c>
      <c r="E1583" s="4">
        <v>15</v>
      </c>
      <c r="F1583" s="8">
        <v>3.18</v>
      </c>
      <c r="G1583" s="4">
        <v>3</v>
      </c>
      <c r="H1583" s="8">
        <v>1.05</v>
      </c>
      <c r="I1583" s="4">
        <v>0</v>
      </c>
    </row>
    <row r="1584" spans="1:9" x14ac:dyDescent="0.2">
      <c r="A1584" s="2">
        <v>11</v>
      </c>
      <c r="B1584" s="1" t="s">
        <v>199</v>
      </c>
      <c r="C1584" s="4">
        <v>17</v>
      </c>
      <c r="D1584" s="8">
        <v>2.23</v>
      </c>
      <c r="E1584" s="4">
        <v>14</v>
      </c>
      <c r="F1584" s="8">
        <v>2.97</v>
      </c>
      <c r="G1584" s="4">
        <v>3</v>
      </c>
      <c r="H1584" s="8">
        <v>1.05</v>
      </c>
      <c r="I1584" s="4">
        <v>0</v>
      </c>
    </row>
    <row r="1585" spans="1:9" x14ac:dyDescent="0.2">
      <c r="A1585" s="2">
        <v>12</v>
      </c>
      <c r="B1585" s="1" t="s">
        <v>157</v>
      </c>
      <c r="C1585" s="4">
        <v>16</v>
      </c>
      <c r="D1585" s="8">
        <v>2.09</v>
      </c>
      <c r="E1585" s="4">
        <v>11</v>
      </c>
      <c r="F1585" s="8">
        <v>2.34</v>
      </c>
      <c r="G1585" s="4">
        <v>5</v>
      </c>
      <c r="H1585" s="8">
        <v>1.75</v>
      </c>
      <c r="I1585" s="4">
        <v>0</v>
      </c>
    </row>
    <row r="1586" spans="1:9" x14ac:dyDescent="0.2">
      <c r="A1586" s="2">
        <v>13</v>
      </c>
      <c r="B1586" s="1" t="s">
        <v>153</v>
      </c>
      <c r="C1586" s="4">
        <v>15</v>
      </c>
      <c r="D1586" s="8">
        <v>1.96</v>
      </c>
      <c r="E1586" s="4">
        <v>8</v>
      </c>
      <c r="F1586" s="8">
        <v>1.7</v>
      </c>
      <c r="G1586" s="4">
        <v>7</v>
      </c>
      <c r="H1586" s="8">
        <v>2.4500000000000002</v>
      </c>
      <c r="I1586" s="4">
        <v>0</v>
      </c>
    </row>
    <row r="1587" spans="1:9" x14ac:dyDescent="0.2">
      <c r="A1587" s="2">
        <v>14</v>
      </c>
      <c r="B1587" s="1" t="s">
        <v>176</v>
      </c>
      <c r="C1587" s="4">
        <v>14</v>
      </c>
      <c r="D1587" s="8">
        <v>1.83</v>
      </c>
      <c r="E1587" s="4">
        <v>9</v>
      </c>
      <c r="F1587" s="8">
        <v>1.91</v>
      </c>
      <c r="G1587" s="4">
        <v>5</v>
      </c>
      <c r="H1587" s="8">
        <v>1.75</v>
      </c>
      <c r="I1587" s="4">
        <v>0</v>
      </c>
    </row>
    <row r="1588" spans="1:9" x14ac:dyDescent="0.2">
      <c r="A1588" s="2">
        <v>15</v>
      </c>
      <c r="B1588" s="1" t="s">
        <v>159</v>
      </c>
      <c r="C1588" s="4">
        <v>13</v>
      </c>
      <c r="D1588" s="8">
        <v>1.7</v>
      </c>
      <c r="E1588" s="4">
        <v>3</v>
      </c>
      <c r="F1588" s="8">
        <v>0.64</v>
      </c>
      <c r="G1588" s="4">
        <v>10</v>
      </c>
      <c r="H1588" s="8">
        <v>3.5</v>
      </c>
      <c r="I1588" s="4">
        <v>0</v>
      </c>
    </row>
    <row r="1589" spans="1:9" x14ac:dyDescent="0.2">
      <c r="A1589" s="2">
        <v>15</v>
      </c>
      <c r="B1589" s="1" t="s">
        <v>164</v>
      </c>
      <c r="C1589" s="4">
        <v>13</v>
      </c>
      <c r="D1589" s="8">
        <v>1.7</v>
      </c>
      <c r="E1589" s="4">
        <v>13</v>
      </c>
      <c r="F1589" s="8">
        <v>2.76</v>
      </c>
      <c r="G1589" s="4">
        <v>0</v>
      </c>
      <c r="H1589" s="8">
        <v>0</v>
      </c>
      <c r="I1589" s="4">
        <v>0</v>
      </c>
    </row>
    <row r="1590" spans="1:9" x14ac:dyDescent="0.2">
      <c r="A1590" s="2">
        <v>17</v>
      </c>
      <c r="B1590" s="1" t="s">
        <v>198</v>
      </c>
      <c r="C1590" s="4">
        <v>12</v>
      </c>
      <c r="D1590" s="8">
        <v>1.57</v>
      </c>
      <c r="E1590" s="4">
        <v>11</v>
      </c>
      <c r="F1590" s="8">
        <v>2.34</v>
      </c>
      <c r="G1590" s="4">
        <v>1</v>
      </c>
      <c r="H1590" s="8">
        <v>0.35</v>
      </c>
      <c r="I1590" s="4">
        <v>0</v>
      </c>
    </row>
    <row r="1591" spans="1:9" x14ac:dyDescent="0.2">
      <c r="A1591" s="2">
        <v>18</v>
      </c>
      <c r="B1591" s="1" t="s">
        <v>152</v>
      </c>
      <c r="C1591" s="4">
        <v>11</v>
      </c>
      <c r="D1591" s="8">
        <v>1.44</v>
      </c>
      <c r="E1591" s="4">
        <v>6</v>
      </c>
      <c r="F1591" s="8">
        <v>1.27</v>
      </c>
      <c r="G1591" s="4">
        <v>5</v>
      </c>
      <c r="H1591" s="8">
        <v>1.75</v>
      </c>
      <c r="I1591" s="4">
        <v>0</v>
      </c>
    </row>
    <row r="1592" spans="1:9" x14ac:dyDescent="0.2">
      <c r="A1592" s="2">
        <v>18</v>
      </c>
      <c r="B1592" s="1" t="s">
        <v>158</v>
      </c>
      <c r="C1592" s="4">
        <v>11</v>
      </c>
      <c r="D1592" s="8">
        <v>1.44</v>
      </c>
      <c r="E1592" s="4">
        <v>2</v>
      </c>
      <c r="F1592" s="8">
        <v>0.42</v>
      </c>
      <c r="G1592" s="4">
        <v>9</v>
      </c>
      <c r="H1592" s="8">
        <v>3.15</v>
      </c>
      <c r="I1592" s="4">
        <v>0</v>
      </c>
    </row>
    <row r="1593" spans="1:9" x14ac:dyDescent="0.2">
      <c r="A1593" s="2">
        <v>18</v>
      </c>
      <c r="B1593" s="1" t="s">
        <v>209</v>
      </c>
      <c r="C1593" s="4">
        <v>11</v>
      </c>
      <c r="D1593" s="8">
        <v>1.44</v>
      </c>
      <c r="E1593" s="4">
        <v>0</v>
      </c>
      <c r="F1593" s="8">
        <v>0</v>
      </c>
      <c r="G1593" s="4">
        <v>11</v>
      </c>
      <c r="H1593" s="8">
        <v>3.85</v>
      </c>
      <c r="I1593" s="4">
        <v>0</v>
      </c>
    </row>
    <row r="1594" spans="1:9" x14ac:dyDescent="0.2">
      <c r="A1594" s="1"/>
      <c r="C1594" s="4"/>
      <c r="D1594" s="8"/>
      <c r="E1594" s="4"/>
      <c r="F1594" s="8"/>
      <c r="G1594" s="4"/>
      <c r="H1594" s="8"/>
      <c r="I1594" s="4"/>
    </row>
    <row r="1595" spans="1:9" x14ac:dyDescent="0.2">
      <c r="A1595" s="1" t="s">
        <v>70</v>
      </c>
      <c r="C1595" s="4"/>
      <c r="D1595" s="8"/>
      <c r="E1595" s="4"/>
      <c r="F1595" s="8"/>
      <c r="G1595" s="4"/>
      <c r="H1595" s="8"/>
      <c r="I1595" s="4"/>
    </row>
    <row r="1596" spans="1:9" x14ac:dyDescent="0.2">
      <c r="A1596" s="2">
        <v>1</v>
      </c>
      <c r="B1596" s="1" t="s">
        <v>161</v>
      </c>
      <c r="C1596" s="4">
        <v>12</v>
      </c>
      <c r="D1596" s="8">
        <v>7.27</v>
      </c>
      <c r="E1596" s="4">
        <v>12</v>
      </c>
      <c r="F1596" s="8">
        <v>11.76</v>
      </c>
      <c r="G1596" s="4">
        <v>0</v>
      </c>
      <c r="H1596" s="8">
        <v>0</v>
      </c>
      <c r="I1596" s="4">
        <v>0</v>
      </c>
    </row>
    <row r="1597" spans="1:9" x14ac:dyDescent="0.2">
      <c r="A1597" s="2">
        <v>2</v>
      </c>
      <c r="B1597" s="1" t="s">
        <v>253</v>
      </c>
      <c r="C1597" s="4">
        <v>11</v>
      </c>
      <c r="D1597" s="8">
        <v>6.67</v>
      </c>
      <c r="E1597" s="4">
        <v>0</v>
      </c>
      <c r="F1597" s="8">
        <v>0</v>
      </c>
      <c r="G1597" s="4">
        <v>11</v>
      </c>
      <c r="H1597" s="8">
        <v>17.739999999999998</v>
      </c>
      <c r="I1597" s="4">
        <v>0</v>
      </c>
    </row>
    <row r="1598" spans="1:9" x14ac:dyDescent="0.2">
      <c r="A1598" s="2">
        <v>3</v>
      </c>
      <c r="B1598" s="1" t="s">
        <v>169</v>
      </c>
      <c r="C1598" s="4">
        <v>10</v>
      </c>
      <c r="D1598" s="8">
        <v>6.06</v>
      </c>
      <c r="E1598" s="4">
        <v>10</v>
      </c>
      <c r="F1598" s="8">
        <v>9.8000000000000007</v>
      </c>
      <c r="G1598" s="4">
        <v>0</v>
      </c>
      <c r="H1598" s="8">
        <v>0</v>
      </c>
      <c r="I1598" s="4">
        <v>0</v>
      </c>
    </row>
    <row r="1599" spans="1:9" x14ac:dyDescent="0.2">
      <c r="A1599" s="2">
        <v>4</v>
      </c>
      <c r="B1599" s="1" t="s">
        <v>171</v>
      </c>
      <c r="C1599" s="4">
        <v>7</v>
      </c>
      <c r="D1599" s="8">
        <v>4.24</v>
      </c>
      <c r="E1599" s="4">
        <v>6</v>
      </c>
      <c r="F1599" s="8">
        <v>5.88</v>
      </c>
      <c r="G1599" s="4">
        <v>1</v>
      </c>
      <c r="H1599" s="8">
        <v>1.61</v>
      </c>
      <c r="I1599" s="4">
        <v>0</v>
      </c>
    </row>
    <row r="1600" spans="1:9" x14ac:dyDescent="0.2">
      <c r="A1600" s="2">
        <v>5</v>
      </c>
      <c r="B1600" s="1" t="s">
        <v>170</v>
      </c>
      <c r="C1600" s="4">
        <v>6</v>
      </c>
      <c r="D1600" s="8">
        <v>3.64</v>
      </c>
      <c r="E1600" s="4">
        <v>6</v>
      </c>
      <c r="F1600" s="8">
        <v>5.88</v>
      </c>
      <c r="G1600" s="4">
        <v>0</v>
      </c>
      <c r="H1600" s="8">
        <v>0</v>
      </c>
      <c r="I1600" s="4">
        <v>0</v>
      </c>
    </row>
    <row r="1601" spans="1:9" x14ac:dyDescent="0.2">
      <c r="A1601" s="2">
        <v>6</v>
      </c>
      <c r="B1601" s="1" t="s">
        <v>160</v>
      </c>
      <c r="C1601" s="4">
        <v>5</v>
      </c>
      <c r="D1601" s="8">
        <v>3.03</v>
      </c>
      <c r="E1601" s="4">
        <v>4</v>
      </c>
      <c r="F1601" s="8">
        <v>3.92</v>
      </c>
      <c r="G1601" s="4">
        <v>1</v>
      </c>
      <c r="H1601" s="8">
        <v>1.61</v>
      </c>
      <c r="I1601" s="4">
        <v>0</v>
      </c>
    </row>
    <row r="1602" spans="1:9" x14ac:dyDescent="0.2">
      <c r="A1602" s="2">
        <v>6</v>
      </c>
      <c r="B1602" s="1" t="s">
        <v>168</v>
      </c>
      <c r="C1602" s="4">
        <v>5</v>
      </c>
      <c r="D1602" s="8">
        <v>3.03</v>
      </c>
      <c r="E1602" s="4">
        <v>5</v>
      </c>
      <c r="F1602" s="8">
        <v>4.9000000000000004</v>
      </c>
      <c r="G1602" s="4">
        <v>0</v>
      </c>
      <c r="H1602" s="8">
        <v>0</v>
      </c>
      <c r="I1602" s="4">
        <v>0</v>
      </c>
    </row>
    <row r="1603" spans="1:9" x14ac:dyDescent="0.2">
      <c r="A1603" s="2">
        <v>8</v>
      </c>
      <c r="B1603" s="1" t="s">
        <v>152</v>
      </c>
      <c r="C1603" s="4">
        <v>4</v>
      </c>
      <c r="D1603" s="8">
        <v>2.42</v>
      </c>
      <c r="E1603" s="4">
        <v>3</v>
      </c>
      <c r="F1603" s="8">
        <v>2.94</v>
      </c>
      <c r="G1603" s="4">
        <v>1</v>
      </c>
      <c r="H1603" s="8">
        <v>1.61</v>
      </c>
      <c r="I1603" s="4">
        <v>0</v>
      </c>
    </row>
    <row r="1604" spans="1:9" x14ac:dyDescent="0.2">
      <c r="A1604" s="2">
        <v>8</v>
      </c>
      <c r="B1604" s="1" t="s">
        <v>181</v>
      </c>
      <c r="C1604" s="4">
        <v>4</v>
      </c>
      <c r="D1604" s="8">
        <v>2.42</v>
      </c>
      <c r="E1604" s="4">
        <v>2</v>
      </c>
      <c r="F1604" s="8">
        <v>1.96</v>
      </c>
      <c r="G1604" s="4">
        <v>2</v>
      </c>
      <c r="H1604" s="8">
        <v>3.23</v>
      </c>
      <c r="I1604" s="4">
        <v>0</v>
      </c>
    </row>
    <row r="1605" spans="1:9" x14ac:dyDescent="0.2">
      <c r="A1605" s="2">
        <v>8</v>
      </c>
      <c r="B1605" s="1" t="s">
        <v>176</v>
      </c>
      <c r="C1605" s="4">
        <v>4</v>
      </c>
      <c r="D1605" s="8">
        <v>2.42</v>
      </c>
      <c r="E1605" s="4">
        <v>2</v>
      </c>
      <c r="F1605" s="8">
        <v>1.96</v>
      </c>
      <c r="G1605" s="4">
        <v>2</v>
      </c>
      <c r="H1605" s="8">
        <v>3.23</v>
      </c>
      <c r="I1605" s="4">
        <v>0</v>
      </c>
    </row>
    <row r="1606" spans="1:9" x14ac:dyDescent="0.2">
      <c r="A1606" s="2">
        <v>8</v>
      </c>
      <c r="B1606" s="1" t="s">
        <v>256</v>
      </c>
      <c r="C1606" s="4">
        <v>4</v>
      </c>
      <c r="D1606" s="8">
        <v>2.42</v>
      </c>
      <c r="E1606" s="4">
        <v>1</v>
      </c>
      <c r="F1606" s="8">
        <v>0.98</v>
      </c>
      <c r="G1606" s="4">
        <v>3</v>
      </c>
      <c r="H1606" s="8">
        <v>4.84</v>
      </c>
      <c r="I1606" s="4">
        <v>0</v>
      </c>
    </row>
    <row r="1607" spans="1:9" x14ac:dyDescent="0.2">
      <c r="A1607" s="2">
        <v>8</v>
      </c>
      <c r="B1607" s="1" t="s">
        <v>167</v>
      </c>
      <c r="C1607" s="4">
        <v>4</v>
      </c>
      <c r="D1607" s="8">
        <v>2.42</v>
      </c>
      <c r="E1607" s="4">
        <v>2</v>
      </c>
      <c r="F1607" s="8">
        <v>1.96</v>
      </c>
      <c r="G1607" s="4">
        <v>2</v>
      </c>
      <c r="H1607" s="8">
        <v>3.23</v>
      </c>
      <c r="I1607" s="4">
        <v>0</v>
      </c>
    </row>
    <row r="1608" spans="1:9" x14ac:dyDescent="0.2">
      <c r="A1608" s="2">
        <v>13</v>
      </c>
      <c r="B1608" s="1" t="s">
        <v>215</v>
      </c>
      <c r="C1608" s="4">
        <v>3</v>
      </c>
      <c r="D1608" s="8">
        <v>1.82</v>
      </c>
      <c r="E1608" s="4">
        <v>2</v>
      </c>
      <c r="F1608" s="8">
        <v>1.96</v>
      </c>
      <c r="G1608" s="4">
        <v>1</v>
      </c>
      <c r="H1608" s="8">
        <v>1.61</v>
      </c>
      <c r="I1608" s="4">
        <v>0</v>
      </c>
    </row>
    <row r="1609" spans="1:9" x14ac:dyDescent="0.2">
      <c r="A1609" s="2">
        <v>13</v>
      </c>
      <c r="B1609" s="1" t="s">
        <v>245</v>
      </c>
      <c r="C1609" s="4">
        <v>3</v>
      </c>
      <c r="D1609" s="8">
        <v>1.82</v>
      </c>
      <c r="E1609" s="4">
        <v>3</v>
      </c>
      <c r="F1609" s="8">
        <v>2.94</v>
      </c>
      <c r="G1609" s="4">
        <v>0</v>
      </c>
      <c r="H1609" s="8">
        <v>0</v>
      </c>
      <c r="I1609" s="4">
        <v>0</v>
      </c>
    </row>
    <row r="1610" spans="1:9" x14ac:dyDescent="0.2">
      <c r="A1610" s="2">
        <v>13</v>
      </c>
      <c r="B1610" s="1" t="s">
        <v>157</v>
      </c>
      <c r="C1610" s="4">
        <v>3</v>
      </c>
      <c r="D1610" s="8">
        <v>1.82</v>
      </c>
      <c r="E1610" s="4">
        <v>2</v>
      </c>
      <c r="F1610" s="8">
        <v>1.96</v>
      </c>
      <c r="G1610" s="4">
        <v>1</v>
      </c>
      <c r="H1610" s="8">
        <v>1.61</v>
      </c>
      <c r="I1610" s="4">
        <v>0</v>
      </c>
    </row>
    <row r="1611" spans="1:9" x14ac:dyDescent="0.2">
      <c r="A1611" s="2">
        <v>13</v>
      </c>
      <c r="B1611" s="1" t="s">
        <v>199</v>
      </c>
      <c r="C1611" s="4">
        <v>3</v>
      </c>
      <c r="D1611" s="8">
        <v>1.82</v>
      </c>
      <c r="E1611" s="4">
        <v>3</v>
      </c>
      <c r="F1611" s="8">
        <v>2.94</v>
      </c>
      <c r="G1611" s="4">
        <v>0</v>
      </c>
      <c r="H1611" s="8">
        <v>0</v>
      </c>
      <c r="I1611" s="4">
        <v>0</v>
      </c>
    </row>
    <row r="1612" spans="1:9" x14ac:dyDescent="0.2">
      <c r="A1612" s="2">
        <v>17</v>
      </c>
      <c r="B1612" s="1" t="s">
        <v>190</v>
      </c>
      <c r="C1612" s="4">
        <v>2</v>
      </c>
      <c r="D1612" s="8">
        <v>1.21</v>
      </c>
      <c r="E1612" s="4">
        <v>0</v>
      </c>
      <c r="F1612" s="8">
        <v>0</v>
      </c>
      <c r="G1612" s="4">
        <v>2</v>
      </c>
      <c r="H1612" s="8">
        <v>3.23</v>
      </c>
      <c r="I1612" s="4">
        <v>0</v>
      </c>
    </row>
    <row r="1613" spans="1:9" x14ac:dyDescent="0.2">
      <c r="A1613" s="2">
        <v>17</v>
      </c>
      <c r="B1613" s="1" t="s">
        <v>191</v>
      </c>
      <c r="C1613" s="4">
        <v>2</v>
      </c>
      <c r="D1613" s="8">
        <v>1.21</v>
      </c>
      <c r="E1613" s="4">
        <v>1</v>
      </c>
      <c r="F1613" s="8">
        <v>0.98</v>
      </c>
      <c r="G1613" s="4">
        <v>1</v>
      </c>
      <c r="H1613" s="8">
        <v>1.61</v>
      </c>
      <c r="I1613" s="4">
        <v>0</v>
      </c>
    </row>
    <row r="1614" spans="1:9" x14ac:dyDescent="0.2">
      <c r="A1614" s="2">
        <v>17</v>
      </c>
      <c r="B1614" s="1" t="s">
        <v>153</v>
      </c>
      <c r="C1614" s="4">
        <v>2</v>
      </c>
      <c r="D1614" s="8">
        <v>1.21</v>
      </c>
      <c r="E1614" s="4">
        <v>2</v>
      </c>
      <c r="F1614" s="8">
        <v>1.96</v>
      </c>
      <c r="G1614" s="4">
        <v>0</v>
      </c>
      <c r="H1614" s="8">
        <v>0</v>
      </c>
      <c r="I1614" s="4">
        <v>0</v>
      </c>
    </row>
    <row r="1615" spans="1:9" x14ac:dyDescent="0.2">
      <c r="A1615" s="2">
        <v>17</v>
      </c>
      <c r="B1615" s="1" t="s">
        <v>252</v>
      </c>
      <c r="C1615" s="4">
        <v>2</v>
      </c>
      <c r="D1615" s="8">
        <v>1.21</v>
      </c>
      <c r="E1615" s="4">
        <v>0</v>
      </c>
      <c r="F1615" s="8">
        <v>0</v>
      </c>
      <c r="G1615" s="4">
        <v>2</v>
      </c>
      <c r="H1615" s="8">
        <v>3.23</v>
      </c>
      <c r="I1615" s="4">
        <v>0</v>
      </c>
    </row>
    <row r="1616" spans="1:9" x14ac:dyDescent="0.2">
      <c r="A1616" s="2">
        <v>17</v>
      </c>
      <c r="B1616" s="1" t="s">
        <v>174</v>
      </c>
      <c r="C1616" s="4">
        <v>2</v>
      </c>
      <c r="D1616" s="8">
        <v>1.21</v>
      </c>
      <c r="E1616" s="4">
        <v>0</v>
      </c>
      <c r="F1616" s="8">
        <v>0</v>
      </c>
      <c r="G1616" s="4">
        <v>2</v>
      </c>
      <c r="H1616" s="8">
        <v>3.23</v>
      </c>
      <c r="I1616" s="4">
        <v>0</v>
      </c>
    </row>
    <row r="1617" spans="1:9" x14ac:dyDescent="0.2">
      <c r="A1617" s="2">
        <v>17</v>
      </c>
      <c r="B1617" s="1" t="s">
        <v>229</v>
      </c>
      <c r="C1617" s="4">
        <v>2</v>
      </c>
      <c r="D1617" s="8">
        <v>1.21</v>
      </c>
      <c r="E1617" s="4">
        <v>1</v>
      </c>
      <c r="F1617" s="8">
        <v>0.98</v>
      </c>
      <c r="G1617" s="4">
        <v>1</v>
      </c>
      <c r="H1617" s="8">
        <v>1.61</v>
      </c>
      <c r="I1617" s="4">
        <v>0</v>
      </c>
    </row>
    <row r="1618" spans="1:9" x14ac:dyDescent="0.2">
      <c r="A1618" s="2">
        <v>17</v>
      </c>
      <c r="B1618" s="1" t="s">
        <v>203</v>
      </c>
      <c r="C1618" s="4">
        <v>2</v>
      </c>
      <c r="D1618" s="8">
        <v>1.21</v>
      </c>
      <c r="E1618" s="4">
        <v>0</v>
      </c>
      <c r="F1618" s="8">
        <v>0</v>
      </c>
      <c r="G1618" s="4">
        <v>2</v>
      </c>
      <c r="H1618" s="8">
        <v>3.23</v>
      </c>
      <c r="I1618" s="4">
        <v>0</v>
      </c>
    </row>
    <row r="1619" spans="1:9" x14ac:dyDescent="0.2">
      <c r="A1619" s="2">
        <v>17</v>
      </c>
      <c r="B1619" s="1" t="s">
        <v>154</v>
      </c>
      <c r="C1619" s="4">
        <v>2</v>
      </c>
      <c r="D1619" s="8">
        <v>1.21</v>
      </c>
      <c r="E1619" s="4">
        <v>0</v>
      </c>
      <c r="F1619" s="8">
        <v>0</v>
      </c>
      <c r="G1619" s="4">
        <v>2</v>
      </c>
      <c r="H1619" s="8">
        <v>3.23</v>
      </c>
      <c r="I1619" s="4">
        <v>0</v>
      </c>
    </row>
    <row r="1620" spans="1:9" x14ac:dyDescent="0.2">
      <c r="A1620" s="2">
        <v>17</v>
      </c>
      <c r="B1620" s="1" t="s">
        <v>254</v>
      </c>
      <c r="C1620" s="4">
        <v>2</v>
      </c>
      <c r="D1620" s="8">
        <v>1.21</v>
      </c>
      <c r="E1620" s="4">
        <v>2</v>
      </c>
      <c r="F1620" s="8">
        <v>1.96</v>
      </c>
      <c r="G1620" s="4">
        <v>0</v>
      </c>
      <c r="H1620" s="8">
        <v>0</v>
      </c>
      <c r="I1620" s="4">
        <v>0</v>
      </c>
    </row>
    <row r="1621" spans="1:9" x14ac:dyDescent="0.2">
      <c r="A1621" s="2">
        <v>17</v>
      </c>
      <c r="B1621" s="1" t="s">
        <v>156</v>
      </c>
      <c r="C1621" s="4">
        <v>2</v>
      </c>
      <c r="D1621" s="8">
        <v>1.21</v>
      </c>
      <c r="E1621" s="4">
        <v>2</v>
      </c>
      <c r="F1621" s="8">
        <v>1.96</v>
      </c>
      <c r="G1621" s="4">
        <v>0</v>
      </c>
      <c r="H1621" s="8">
        <v>0</v>
      </c>
      <c r="I1621" s="4">
        <v>0</v>
      </c>
    </row>
    <row r="1622" spans="1:9" x14ac:dyDescent="0.2">
      <c r="A1622" s="2">
        <v>17</v>
      </c>
      <c r="B1622" s="1" t="s">
        <v>255</v>
      </c>
      <c r="C1622" s="4">
        <v>2</v>
      </c>
      <c r="D1622" s="8">
        <v>1.21</v>
      </c>
      <c r="E1622" s="4">
        <v>1</v>
      </c>
      <c r="F1622" s="8">
        <v>0.98</v>
      </c>
      <c r="G1622" s="4">
        <v>1</v>
      </c>
      <c r="H1622" s="8">
        <v>1.61</v>
      </c>
      <c r="I1622" s="4">
        <v>0</v>
      </c>
    </row>
    <row r="1623" spans="1:9" x14ac:dyDescent="0.2">
      <c r="A1623" s="2">
        <v>17</v>
      </c>
      <c r="B1623" s="1" t="s">
        <v>159</v>
      </c>
      <c r="C1623" s="4">
        <v>2</v>
      </c>
      <c r="D1623" s="8">
        <v>1.21</v>
      </c>
      <c r="E1623" s="4">
        <v>2</v>
      </c>
      <c r="F1623" s="8">
        <v>1.96</v>
      </c>
      <c r="G1623" s="4">
        <v>0</v>
      </c>
      <c r="H1623" s="8">
        <v>0</v>
      </c>
      <c r="I1623" s="4">
        <v>0</v>
      </c>
    </row>
    <row r="1624" spans="1:9" x14ac:dyDescent="0.2">
      <c r="A1624" s="2">
        <v>17</v>
      </c>
      <c r="B1624" s="1" t="s">
        <v>164</v>
      </c>
      <c r="C1624" s="4">
        <v>2</v>
      </c>
      <c r="D1624" s="8">
        <v>1.21</v>
      </c>
      <c r="E1624" s="4">
        <v>2</v>
      </c>
      <c r="F1624" s="8">
        <v>1.96</v>
      </c>
      <c r="G1624" s="4">
        <v>0</v>
      </c>
      <c r="H1624" s="8">
        <v>0</v>
      </c>
      <c r="I1624" s="4">
        <v>0</v>
      </c>
    </row>
    <row r="1625" spans="1:9" x14ac:dyDescent="0.2">
      <c r="A1625" s="2">
        <v>17</v>
      </c>
      <c r="B1625" s="1" t="s">
        <v>165</v>
      </c>
      <c r="C1625" s="4">
        <v>2</v>
      </c>
      <c r="D1625" s="8">
        <v>1.21</v>
      </c>
      <c r="E1625" s="4">
        <v>1</v>
      </c>
      <c r="F1625" s="8">
        <v>0.98</v>
      </c>
      <c r="G1625" s="4">
        <v>1</v>
      </c>
      <c r="H1625" s="8">
        <v>1.61</v>
      </c>
      <c r="I1625" s="4">
        <v>0</v>
      </c>
    </row>
    <row r="1626" spans="1:9" x14ac:dyDescent="0.2">
      <c r="A1626" s="2">
        <v>17</v>
      </c>
      <c r="B1626" s="1" t="s">
        <v>196</v>
      </c>
      <c r="C1626" s="4">
        <v>2</v>
      </c>
      <c r="D1626" s="8">
        <v>1.21</v>
      </c>
      <c r="E1626" s="4">
        <v>2</v>
      </c>
      <c r="F1626" s="8">
        <v>1.96</v>
      </c>
      <c r="G1626" s="4">
        <v>0</v>
      </c>
      <c r="H1626" s="8">
        <v>0</v>
      </c>
      <c r="I1626" s="4">
        <v>0</v>
      </c>
    </row>
    <row r="1627" spans="1:9" x14ac:dyDescent="0.2">
      <c r="A1627" s="1"/>
      <c r="C1627" s="4"/>
      <c r="D1627" s="8"/>
      <c r="E1627" s="4"/>
      <c r="F1627" s="8"/>
      <c r="G1627" s="4"/>
      <c r="H1627" s="8"/>
      <c r="I1627" s="4"/>
    </row>
    <row r="1628" spans="1:9" x14ac:dyDescent="0.2">
      <c r="A1628" s="1" t="s">
        <v>71</v>
      </c>
      <c r="C1628" s="4"/>
      <c r="D1628" s="8"/>
      <c r="E1628" s="4"/>
      <c r="F1628" s="8"/>
      <c r="G1628" s="4"/>
      <c r="H1628" s="8"/>
      <c r="I1628" s="4"/>
    </row>
    <row r="1629" spans="1:9" x14ac:dyDescent="0.2">
      <c r="A1629" s="2">
        <v>1</v>
      </c>
      <c r="B1629" s="1" t="s">
        <v>190</v>
      </c>
      <c r="C1629" s="4">
        <v>13</v>
      </c>
      <c r="D1629" s="8">
        <v>5.49</v>
      </c>
      <c r="E1629" s="4">
        <v>3</v>
      </c>
      <c r="F1629" s="8">
        <v>2.14</v>
      </c>
      <c r="G1629" s="4">
        <v>10</v>
      </c>
      <c r="H1629" s="8">
        <v>10.75</v>
      </c>
      <c r="I1629" s="4">
        <v>0</v>
      </c>
    </row>
    <row r="1630" spans="1:9" x14ac:dyDescent="0.2">
      <c r="A1630" s="2">
        <v>2</v>
      </c>
      <c r="B1630" s="1" t="s">
        <v>161</v>
      </c>
      <c r="C1630" s="4">
        <v>9</v>
      </c>
      <c r="D1630" s="8">
        <v>3.8</v>
      </c>
      <c r="E1630" s="4">
        <v>9</v>
      </c>
      <c r="F1630" s="8">
        <v>6.43</v>
      </c>
      <c r="G1630" s="4">
        <v>0</v>
      </c>
      <c r="H1630" s="8">
        <v>0</v>
      </c>
      <c r="I1630" s="4">
        <v>0</v>
      </c>
    </row>
    <row r="1631" spans="1:9" x14ac:dyDescent="0.2">
      <c r="A1631" s="2">
        <v>3</v>
      </c>
      <c r="B1631" s="1" t="s">
        <v>245</v>
      </c>
      <c r="C1631" s="4">
        <v>8</v>
      </c>
      <c r="D1631" s="8">
        <v>3.38</v>
      </c>
      <c r="E1631" s="4">
        <v>3</v>
      </c>
      <c r="F1631" s="8">
        <v>2.14</v>
      </c>
      <c r="G1631" s="4">
        <v>5</v>
      </c>
      <c r="H1631" s="8">
        <v>5.38</v>
      </c>
      <c r="I1631" s="4">
        <v>0</v>
      </c>
    </row>
    <row r="1632" spans="1:9" x14ac:dyDescent="0.2">
      <c r="A1632" s="2">
        <v>3</v>
      </c>
      <c r="B1632" s="1" t="s">
        <v>171</v>
      </c>
      <c r="C1632" s="4">
        <v>8</v>
      </c>
      <c r="D1632" s="8">
        <v>3.38</v>
      </c>
      <c r="E1632" s="4">
        <v>6</v>
      </c>
      <c r="F1632" s="8">
        <v>4.29</v>
      </c>
      <c r="G1632" s="4">
        <v>2</v>
      </c>
      <c r="H1632" s="8">
        <v>2.15</v>
      </c>
      <c r="I1632" s="4">
        <v>0</v>
      </c>
    </row>
    <row r="1633" spans="1:9" x14ac:dyDescent="0.2">
      <c r="A1633" s="2">
        <v>5</v>
      </c>
      <c r="B1633" s="1" t="s">
        <v>156</v>
      </c>
      <c r="C1633" s="4">
        <v>7</v>
      </c>
      <c r="D1633" s="8">
        <v>2.95</v>
      </c>
      <c r="E1633" s="4">
        <v>5</v>
      </c>
      <c r="F1633" s="8">
        <v>3.57</v>
      </c>
      <c r="G1633" s="4">
        <v>2</v>
      </c>
      <c r="H1633" s="8">
        <v>2.15</v>
      </c>
      <c r="I1633" s="4">
        <v>0</v>
      </c>
    </row>
    <row r="1634" spans="1:9" x14ac:dyDescent="0.2">
      <c r="A1634" s="2">
        <v>5</v>
      </c>
      <c r="B1634" s="1" t="s">
        <v>167</v>
      </c>
      <c r="C1634" s="4">
        <v>7</v>
      </c>
      <c r="D1634" s="8">
        <v>2.95</v>
      </c>
      <c r="E1634" s="4">
        <v>7</v>
      </c>
      <c r="F1634" s="8">
        <v>5</v>
      </c>
      <c r="G1634" s="4">
        <v>0</v>
      </c>
      <c r="H1634" s="8">
        <v>0</v>
      </c>
      <c r="I1634" s="4">
        <v>0</v>
      </c>
    </row>
    <row r="1635" spans="1:9" x14ac:dyDescent="0.2">
      <c r="A1635" s="2">
        <v>5</v>
      </c>
      <c r="B1635" s="1" t="s">
        <v>168</v>
      </c>
      <c r="C1635" s="4">
        <v>7</v>
      </c>
      <c r="D1635" s="8">
        <v>2.95</v>
      </c>
      <c r="E1635" s="4">
        <v>7</v>
      </c>
      <c r="F1635" s="8">
        <v>5</v>
      </c>
      <c r="G1635" s="4">
        <v>0</v>
      </c>
      <c r="H1635" s="8">
        <v>0</v>
      </c>
      <c r="I1635" s="4">
        <v>0</v>
      </c>
    </row>
    <row r="1636" spans="1:9" x14ac:dyDescent="0.2">
      <c r="A1636" s="2">
        <v>8</v>
      </c>
      <c r="B1636" s="1" t="s">
        <v>153</v>
      </c>
      <c r="C1636" s="4">
        <v>6</v>
      </c>
      <c r="D1636" s="8">
        <v>2.5299999999999998</v>
      </c>
      <c r="E1636" s="4">
        <v>0</v>
      </c>
      <c r="F1636" s="8">
        <v>0</v>
      </c>
      <c r="G1636" s="4">
        <v>6</v>
      </c>
      <c r="H1636" s="8">
        <v>6.45</v>
      </c>
      <c r="I1636" s="4">
        <v>0</v>
      </c>
    </row>
    <row r="1637" spans="1:9" x14ac:dyDescent="0.2">
      <c r="A1637" s="2">
        <v>8</v>
      </c>
      <c r="B1637" s="1" t="s">
        <v>194</v>
      </c>
      <c r="C1637" s="4">
        <v>6</v>
      </c>
      <c r="D1637" s="8">
        <v>2.5299999999999998</v>
      </c>
      <c r="E1637" s="4">
        <v>5</v>
      </c>
      <c r="F1637" s="8">
        <v>3.57</v>
      </c>
      <c r="G1637" s="4">
        <v>1</v>
      </c>
      <c r="H1637" s="8">
        <v>1.08</v>
      </c>
      <c r="I1637" s="4">
        <v>0</v>
      </c>
    </row>
    <row r="1638" spans="1:9" x14ac:dyDescent="0.2">
      <c r="A1638" s="2">
        <v>8</v>
      </c>
      <c r="B1638" s="1" t="s">
        <v>160</v>
      </c>
      <c r="C1638" s="4">
        <v>6</v>
      </c>
      <c r="D1638" s="8">
        <v>2.5299999999999998</v>
      </c>
      <c r="E1638" s="4">
        <v>2</v>
      </c>
      <c r="F1638" s="8">
        <v>1.43</v>
      </c>
      <c r="G1638" s="4">
        <v>4</v>
      </c>
      <c r="H1638" s="8">
        <v>4.3</v>
      </c>
      <c r="I1638" s="4">
        <v>0</v>
      </c>
    </row>
    <row r="1639" spans="1:9" x14ac:dyDescent="0.2">
      <c r="A1639" s="2">
        <v>11</v>
      </c>
      <c r="B1639" s="1" t="s">
        <v>257</v>
      </c>
      <c r="C1639" s="4">
        <v>5</v>
      </c>
      <c r="D1639" s="8">
        <v>2.11</v>
      </c>
      <c r="E1639" s="4">
        <v>4</v>
      </c>
      <c r="F1639" s="8">
        <v>2.86</v>
      </c>
      <c r="G1639" s="4">
        <v>1</v>
      </c>
      <c r="H1639" s="8">
        <v>1.08</v>
      </c>
      <c r="I1639" s="4">
        <v>0</v>
      </c>
    </row>
    <row r="1640" spans="1:9" x14ac:dyDescent="0.2">
      <c r="A1640" s="2">
        <v>11</v>
      </c>
      <c r="B1640" s="1" t="s">
        <v>201</v>
      </c>
      <c r="C1640" s="4">
        <v>5</v>
      </c>
      <c r="D1640" s="8">
        <v>2.11</v>
      </c>
      <c r="E1640" s="4">
        <v>4</v>
      </c>
      <c r="F1640" s="8">
        <v>2.86</v>
      </c>
      <c r="G1640" s="4">
        <v>1</v>
      </c>
      <c r="H1640" s="8">
        <v>1.08</v>
      </c>
      <c r="I1640" s="4">
        <v>0</v>
      </c>
    </row>
    <row r="1641" spans="1:9" x14ac:dyDescent="0.2">
      <c r="A1641" s="2">
        <v>11</v>
      </c>
      <c r="B1641" s="1" t="s">
        <v>169</v>
      </c>
      <c r="C1641" s="4">
        <v>5</v>
      </c>
      <c r="D1641" s="8">
        <v>2.11</v>
      </c>
      <c r="E1641" s="4">
        <v>5</v>
      </c>
      <c r="F1641" s="8">
        <v>3.57</v>
      </c>
      <c r="G1641" s="4">
        <v>0</v>
      </c>
      <c r="H1641" s="8">
        <v>0</v>
      </c>
      <c r="I1641" s="4">
        <v>0</v>
      </c>
    </row>
    <row r="1642" spans="1:9" x14ac:dyDescent="0.2">
      <c r="A1642" s="2">
        <v>11</v>
      </c>
      <c r="B1642" s="1" t="s">
        <v>259</v>
      </c>
      <c r="C1642" s="4">
        <v>5</v>
      </c>
      <c r="D1642" s="8">
        <v>2.11</v>
      </c>
      <c r="E1642" s="4">
        <v>3</v>
      </c>
      <c r="F1642" s="8">
        <v>2.14</v>
      </c>
      <c r="G1642" s="4">
        <v>2</v>
      </c>
      <c r="H1642" s="8">
        <v>2.15</v>
      </c>
      <c r="I1642" s="4">
        <v>0</v>
      </c>
    </row>
    <row r="1643" spans="1:9" x14ac:dyDescent="0.2">
      <c r="A1643" s="2">
        <v>11</v>
      </c>
      <c r="B1643" s="1" t="s">
        <v>198</v>
      </c>
      <c r="C1643" s="4">
        <v>5</v>
      </c>
      <c r="D1643" s="8">
        <v>2.11</v>
      </c>
      <c r="E1643" s="4">
        <v>4</v>
      </c>
      <c r="F1643" s="8">
        <v>2.86</v>
      </c>
      <c r="G1643" s="4">
        <v>1</v>
      </c>
      <c r="H1643" s="8">
        <v>1.08</v>
      </c>
      <c r="I1643" s="4">
        <v>0</v>
      </c>
    </row>
    <row r="1644" spans="1:9" x14ac:dyDescent="0.2">
      <c r="A1644" s="2">
        <v>16</v>
      </c>
      <c r="B1644" s="1" t="s">
        <v>152</v>
      </c>
      <c r="C1644" s="4">
        <v>4</v>
      </c>
      <c r="D1644" s="8">
        <v>1.69</v>
      </c>
      <c r="E1644" s="4">
        <v>1</v>
      </c>
      <c r="F1644" s="8">
        <v>0.71</v>
      </c>
      <c r="G1644" s="4">
        <v>3</v>
      </c>
      <c r="H1644" s="8">
        <v>3.23</v>
      </c>
      <c r="I1644" s="4">
        <v>0</v>
      </c>
    </row>
    <row r="1645" spans="1:9" x14ac:dyDescent="0.2">
      <c r="A1645" s="2">
        <v>16</v>
      </c>
      <c r="B1645" s="1" t="s">
        <v>224</v>
      </c>
      <c r="C1645" s="4">
        <v>4</v>
      </c>
      <c r="D1645" s="8">
        <v>1.69</v>
      </c>
      <c r="E1645" s="4">
        <v>2</v>
      </c>
      <c r="F1645" s="8">
        <v>1.43</v>
      </c>
      <c r="G1645" s="4">
        <v>2</v>
      </c>
      <c r="H1645" s="8">
        <v>2.15</v>
      </c>
      <c r="I1645" s="4">
        <v>0</v>
      </c>
    </row>
    <row r="1646" spans="1:9" x14ac:dyDescent="0.2">
      <c r="A1646" s="2">
        <v>16</v>
      </c>
      <c r="B1646" s="1" t="s">
        <v>215</v>
      </c>
      <c r="C1646" s="4">
        <v>4</v>
      </c>
      <c r="D1646" s="8">
        <v>1.69</v>
      </c>
      <c r="E1646" s="4">
        <v>4</v>
      </c>
      <c r="F1646" s="8">
        <v>2.86</v>
      </c>
      <c r="G1646" s="4">
        <v>0</v>
      </c>
      <c r="H1646" s="8">
        <v>0</v>
      </c>
      <c r="I1646" s="4">
        <v>0</v>
      </c>
    </row>
    <row r="1647" spans="1:9" x14ac:dyDescent="0.2">
      <c r="A1647" s="2">
        <v>16</v>
      </c>
      <c r="B1647" s="1" t="s">
        <v>157</v>
      </c>
      <c r="C1647" s="4">
        <v>4</v>
      </c>
      <c r="D1647" s="8">
        <v>1.69</v>
      </c>
      <c r="E1647" s="4">
        <v>4</v>
      </c>
      <c r="F1647" s="8">
        <v>2.86</v>
      </c>
      <c r="G1647" s="4">
        <v>0</v>
      </c>
      <c r="H1647" s="8">
        <v>0</v>
      </c>
      <c r="I1647" s="4">
        <v>0</v>
      </c>
    </row>
    <row r="1648" spans="1:9" x14ac:dyDescent="0.2">
      <c r="A1648" s="2">
        <v>16</v>
      </c>
      <c r="B1648" s="1" t="s">
        <v>258</v>
      </c>
      <c r="C1648" s="4">
        <v>4</v>
      </c>
      <c r="D1648" s="8">
        <v>1.69</v>
      </c>
      <c r="E1648" s="4">
        <v>3</v>
      </c>
      <c r="F1648" s="8">
        <v>2.14</v>
      </c>
      <c r="G1648" s="4">
        <v>1</v>
      </c>
      <c r="H1648" s="8">
        <v>1.08</v>
      </c>
      <c r="I1648" s="4">
        <v>0</v>
      </c>
    </row>
    <row r="1649" spans="1:9" x14ac:dyDescent="0.2">
      <c r="A1649" s="2">
        <v>16</v>
      </c>
      <c r="B1649" s="1" t="s">
        <v>165</v>
      </c>
      <c r="C1649" s="4">
        <v>4</v>
      </c>
      <c r="D1649" s="8">
        <v>1.69</v>
      </c>
      <c r="E1649" s="4">
        <v>4</v>
      </c>
      <c r="F1649" s="8">
        <v>2.86</v>
      </c>
      <c r="G1649" s="4">
        <v>0</v>
      </c>
      <c r="H1649" s="8">
        <v>0</v>
      </c>
      <c r="I1649" s="4">
        <v>0</v>
      </c>
    </row>
    <row r="1650" spans="1:9" x14ac:dyDescent="0.2">
      <c r="A1650" s="2">
        <v>16</v>
      </c>
      <c r="B1650" s="1" t="s">
        <v>183</v>
      </c>
      <c r="C1650" s="4">
        <v>4</v>
      </c>
      <c r="D1650" s="8">
        <v>1.69</v>
      </c>
      <c r="E1650" s="4">
        <v>4</v>
      </c>
      <c r="F1650" s="8">
        <v>2.86</v>
      </c>
      <c r="G1650" s="4">
        <v>0</v>
      </c>
      <c r="H1650" s="8">
        <v>0</v>
      </c>
      <c r="I1650" s="4">
        <v>0</v>
      </c>
    </row>
    <row r="1651" spans="1:9" x14ac:dyDescent="0.2">
      <c r="A1651" s="1"/>
      <c r="C1651" s="4"/>
      <c r="D1651" s="8"/>
      <c r="E1651" s="4"/>
      <c r="F1651" s="8"/>
      <c r="G1651" s="4"/>
      <c r="H1651" s="8"/>
      <c r="I1651" s="4"/>
    </row>
    <row r="1652" spans="1:9" x14ac:dyDescent="0.2">
      <c r="A1652" s="1" t="s">
        <v>72</v>
      </c>
      <c r="C1652" s="4"/>
      <c r="D1652" s="8"/>
      <c r="E1652" s="4"/>
      <c r="F1652" s="8"/>
      <c r="G1652" s="4"/>
      <c r="H1652" s="8"/>
      <c r="I1652" s="4"/>
    </row>
    <row r="1653" spans="1:9" x14ac:dyDescent="0.2">
      <c r="A1653" s="2">
        <v>1</v>
      </c>
      <c r="B1653" s="1" t="s">
        <v>160</v>
      </c>
      <c r="C1653" s="4">
        <v>16</v>
      </c>
      <c r="D1653" s="8">
        <v>6.78</v>
      </c>
      <c r="E1653" s="4">
        <v>14</v>
      </c>
      <c r="F1653" s="8">
        <v>10.37</v>
      </c>
      <c r="G1653" s="4">
        <v>2</v>
      </c>
      <c r="H1653" s="8">
        <v>2.04</v>
      </c>
      <c r="I1653" s="4">
        <v>0</v>
      </c>
    </row>
    <row r="1654" spans="1:9" x14ac:dyDescent="0.2">
      <c r="A1654" s="2">
        <v>2</v>
      </c>
      <c r="B1654" s="1" t="s">
        <v>161</v>
      </c>
      <c r="C1654" s="4">
        <v>12</v>
      </c>
      <c r="D1654" s="8">
        <v>5.08</v>
      </c>
      <c r="E1654" s="4">
        <v>11</v>
      </c>
      <c r="F1654" s="8">
        <v>8.15</v>
      </c>
      <c r="G1654" s="4">
        <v>1</v>
      </c>
      <c r="H1654" s="8">
        <v>1.02</v>
      </c>
      <c r="I1654" s="4">
        <v>0</v>
      </c>
    </row>
    <row r="1655" spans="1:9" x14ac:dyDescent="0.2">
      <c r="A1655" s="2">
        <v>3</v>
      </c>
      <c r="B1655" s="1" t="s">
        <v>190</v>
      </c>
      <c r="C1655" s="4">
        <v>11</v>
      </c>
      <c r="D1655" s="8">
        <v>4.66</v>
      </c>
      <c r="E1655" s="4">
        <v>4</v>
      </c>
      <c r="F1655" s="8">
        <v>2.96</v>
      </c>
      <c r="G1655" s="4">
        <v>7</v>
      </c>
      <c r="H1655" s="8">
        <v>7.14</v>
      </c>
      <c r="I1655" s="4">
        <v>0</v>
      </c>
    </row>
    <row r="1656" spans="1:9" x14ac:dyDescent="0.2">
      <c r="A1656" s="2">
        <v>4</v>
      </c>
      <c r="B1656" s="1" t="s">
        <v>169</v>
      </c>
      <c r="C1656" s="4">
        <v>10</v>
      </c>
      <c r="D1656" s="8">
        <v>4.24</v>
      </c>
      <c r="E1656" s="4">
        <v>10</v>
      </c>
      <c r="F1656" s="8">
        <v>7.41</v>
      </c>
      <c r="G1656" s="4">
        <v>0</v>
      </c>
      <c r="H1656" s="8">
        <v>0</v>
      </c>
      <c r="I1656" s="4">
        <v>0</v>
      </c>
    </row>
    <row r="1657" spans="1:9" x14ac:dyDescent="0.2">
      <c r="A1657" s="2">
        <v>5</v>
      </c>
      <c r="B1657" s="1" t="s">
        <v>170</v>
      </c>
      <c r="C1657" s="4">
        <v>8</v>
      </c>
      <c r="D1657" s="8">
        <v>3.39</v>
      </c>
      <c r="E1657" s="4">
        <v>8</v>
      </c>
      <c r="F1657" s="8">
        <v>5.93</v>
      </c>
      <c r="G1657" s="4">
        <v>0</v>
      </c>
      <c r="H1657" s="8">
        <v>0</v>
      </c>
      <c r="I1657" s="4">
        <v>0</v>
      </c>
    </row>
    <row r="1658" spans="1:9" x14ac:dyDescent="0.2">
      <c r="A1658" s="2">
        <v>5</v>
      </c>
      <c r="B1658" s="1" t="s">
        <v>171</v>
      </c>
      <c r="C1658" s="4">
        <v>8</v>
      </c>
      <c r="D1658" s="8">
        <v>3.39</v>
      </c>
      <c r="E1658" s="4">
        <v>8</v>
      </c>
      <c r="F1658" s="8">
        <v>5.93</v>
      </c>
      <c r="G1658" s="4">
        <v>0</v>
      </c>
      <c r="H1658" s="8">
        <v>0</v>
      </c>
      <c r="I1658" s="4">
        <v>0</v>
      </c>
    </row>
    <row r="1659" spans="1:9" x14ac:dyDescent="0.2">
      <c r="A1659" s="2">
        <v>7</v>
      </c>
      <c r="B1659" s="1" t="s">
        <v>167</v>
      </c>
      <c r="C1659" s="4">
        <v>7</v>
      </c>
      <c r="D1659" s="8">
        <v>2.97</v>
      </c>
      <c r="E1659" s="4">
        <v>7</v>
      </c>
      <c r="F1659" s="8">
        <v>5.19</v>
      </c>
      <c r="G1659" s="4">
        <v>0</v>
      </c>
      <c r="H1659" s="8">
        <v>0</v>
      </c>
      <c r="I1659" s="4">
        <v>0</v>
      </c>
    </row>
    <row r="1660" spans="1:9" x14ac:dyDescent="0.2">
      <c r="A1660" s="2">
        <v>8</v>
      </c>
      <c r="B1660" s="1" t="s">
        <v>152</v>
      </c>
      <c r="C1660" s="4">
        <v>6</v>
      </c>
      <c r="D1660" s="8">
        <v>2.54</v>
      </c>
      <c r="E1660" s="4">
        <v>0</v>
      </c>
      <c r="F1660" s="8">
        <v>0</v>
      </c>
      <c r="G1660" s="4">
        <v>6</v>
      </c>
      <c r="H1660" s="8">
        <v>6.12</v>
      </c>
      <c r="I1660" s="4">
        <v>0</v>
      </c>
    </row>
    <row r="1661" spans="1:9" x14ac:dyDescent="0.2">
      <c r="A1661" s="2">
        <v>8</v>
      </c>
      <c r="B1661" s="1" t="s">
        <v>198</v>
      </c>
      <c r="C1661" s="4">
        <v>6</v>
      </c>
      <c r="D1661" s="8">
        <v>2.54</v>
      </c>
      <c r="E1661" s="4">
        <v>4</v>
      </c>
      <c r="F1661" s="8">
        <v>2.96</v>
      </c>
      <c r="G1661" s="4">
        <v>2</v>
      </c>
      <c r="H1661" s="8">
        <v>2.04</v>
      </c>
      <c r="I1661" s="4">
        <v>0</v>
      </c>
    </row>
    <row r="1662" spans="1:9" x14ac:dyDescent="0.2">
      <c r="A1662" s="2">
        <v>10</v>
      </c>
      <c r="B1662" s="1" t="s">
        <v>210</v>
      </c>
      <c r="C1662" s="4">
        <v>5</v>
      </c>
      <c r="D1662" s="8">
        <v>2.12</v>
      </c>
      <c r="E1662" s="4">
        <v>3</v>
      </c>
      <c r="F1662" s="8">
        <v>2.2200000000000002</v>
      </c>
      <c r="G1662" s="4">
        <v>2</v>
      </c>
      <c r="H1662" s="8">
        <v>2.04</v>
      </c>
      <c r="I1662" s="4">
        <v>0</v>
      </c>
    </row>
    <row r="1663" spans="1:9" x14ac:dyDescent="0.2">
      <c r="A1663" s="2">
        <v>10</v>
      </c>
      <c r="B1663" s="1" t="s">
        <v>153</v>
      </c>
      <c r="C1663" s="4">
        <v>5</v>
      </c>
      <c r="D1663" s="8">
        <v>2.12</v>
      </c>
      <c r="E1663" s="4">
        <v>2</v>
      </c>
      <c r="F1663" s="8">
        <v>1.48</v>
      </c>
      <c r="G1663" s="4">
        <v>3</v>
      </c>
      <c r="H1663" s="8">
        <v>3.06</v>
      </c>
      <c r="I1663" s="4">
        <v>0</v>
      </c>
    </row>
    <row r="1664" spans="1:9" x14ac:dyDescent="0.2">
      <c r="A1664" s="2">
        <v>10</v>
      </c>
      <c r="B1664" s="1" t="s">
        <v>154</v>
      </c>
      <c r="C1664" s="4">
        <v>5</v>
      </c>
      <c r="D1664" s="8">
        <v>2.12</v>
      </c>
      <c r="E1664" s="4">
        <v>0</v>
      </c>
      <c r="F1664" s="8">
        <v>0</v>
      </c>
      <c r="G1664" s="4">
        <v>5</v>
      </c>
      <c r="H1664" s="8">
        <v>5.0999999999999996</v>
      </c>
      <c r="I1664" s="4">
        <v>0</v>
      </c>
    </row>
    <row r="1665" spans="1:9" x14ac:dyDescent="0.2">
      <c r="A1665" s="2">
        <v>10</v>
      </c>
      <c r="B1665" s="1" t="s">
        <v>215</v>
      </c>
      <c r="C1665" s="4">
        <v>5</v>
      </c>
      <c r="D1665" s="8">
        <v>2.12</v>
      </c>
      <c r="E1665" s="4">
        <v>5</v>
      </c>
      <c r="F1665" s="8">
        <v>3.7</v>
      </c>
      <c r="G1665" s="4">
        <v>0</v>
      </c>
      <c r="H1665" s="8">
        <v>0</v>
      </c>
      <c r="I1665" s="4">
        <v>0</v>
      </c>
    </row>
    <row r="1666" spans="1:9" x14ac:dyDescent="0.2">
      <c r="A1666" s="2">
        <v>14</v>
      </c>
      <c r="B1666" s="1" t="s">
        <v>192</v>
      </c>
      <c r="C1666" s="4">
        <v>4</v>
      </c>
      <c r="D1666" s="8">
        <v>1.69</v>
      </c>
      <c r="E1666" s="4">
        <v>2</v>
      </c>
      <c r="F1666" s="8">
        <v>1.48</v>
      </c>
      <c r="G1666" s="4">
        <v>2</v>
      </c>
      <c r="H1666" s="8">
        <v>2.04</v>
      </c>
      <c r="I1666" s="4">
        <v>0</v>
      </c>
    </row>
    <row r="1667" spans="1:9" x14ac:dyDescent="0.2">
      <c r="A1667" s="2">
        <v>14</v>
      </c>
      <c r="B1667" s="1" t="s">
        <v>217</v>
      </c>
      <c r="C1667" s="4">
        <v>4</v>
      </c>
      <c r="D1667" s="8">
        <v>1.69</v>
      </c>
      <c r="E1667" s="4">
        <v>2</v>
      </c>
      <c r="F1667" s="8">
        <v>1.48</v>
      </c>
      <c r="G1667" s="4">
        <v>2</v>
      </c>
      <c r="H1667" s="8">
        <v>2.04</v>
      </c>
      <c r="I1667" s="4">
        <v>0</v>
      </c>
    </row>
    <row r="1668" spans="1:9" x14ac:dyDescent="0.2">
      <c r="A1668" s="2">
        <v>14</v>
      </c>
      <c r="B1668" s="1" t="s">
        <v>194</v>
      </c>
      <c r="C1668" s="4">
        <v>4</v>
      </c>
      <c r="D1668" s="8">
        <v>1.69</v>
      </c>
      <c r="E1668" s="4">
        <v>4</v>
      </c>
      <c r="F1668" s="8">
        <v>2.96</v>
      </c>
      <c r="G1668" s="4">
        <v>0</v>
      </c>
      <c r="H1668" s="8">
        <v>0</v>
      </c>
      <c r="I1668" s="4">
        <v>0</v>
      </c>
    </row>
    <row r="1669" spans="1:9" x14ac:dyDescent="0.2">
      <c r="A1669" s="2">
        <v>14</v>
      </c>
      <c r="B1669" s="1" t="s">
        <v>157</v>
      </c>
      <c r="C1669" s="4">
        <v>4</v>
      </c>
      <c r="D1669" s="8">
        <v>1.69</v>
      </c>
      <c r="E1669" s="4">
        <v>4</v>
      </c>
      <c r="F1669" s="8">
        <v>2.96</v>
      </c>
      <c r="G1669" s="4">
        <v>0</v>
      </c>
      <c r="H1669" s="8">
        <v>0</v>
      </c>
      <c r="I1669" s="4">
        <v>0</v>
      </c>
    </row>
    <row r="1670" spans="1:9" x14ac:dyDescent="0.2">
      <c r="A1670" s="2">
        <v>14</v>
      </c>
      <c r="B1670" s="1" t="s">
        <v>233</v>
      </c>
      <c r="C1670" s="4">
        <v>4</v>
      </c>
      <c r="D1670" s="8">
        <v>1.69</v>
      </c>
      <c r="E1670" s="4">
        <v>1</v>
      </c>
      <c r="F1670" s="8">
        <v>0.74</v>
      </c>
      <c r="G1670" s="4">
        <v>3</v>
      </c>
      <c r="H1670" s="8">
        <v>3.06</v>
      </c>
      <c r="I1670" s="4">
        <v>0</v>
      </c>
    </row>
    <row r="1671" spans="1:9" x14ac:dyDescent="0.2">
      <c r="A1671" s="2">
        <v>19</v>
      </c>
      <c r="B1671" s="1" t="s">
        <v>224</v>
      </c>
      <c r="C1671" s="4">
        <v>3</v>
      </c>
      <c r="D1671" s="8">
        <v>1.27</v>
      </c>
      <c r="E1671" s="4">
        <v>1</v>
      </c>
      <c r="F1671" s="8">
        <v>0.74</v>
      </c>
      <c r="G1671" s="4">
        <v>2</v>
      </c>
      <c r="H1671" s="8">
        <v>2.04</v>
      </c>
      <c r="I1671" s="4">
        <v>0</v>
      </c>
    </row>
    <row r="1672" spans="1:9" x14ac:dyDescent="0.2">
      <c r="A1672" s="2">
        <v>19</v>
      </c>
      <c r="B1672" s="1" t="s">
        <v>191</v>
      </c>
      <c r="C1672" s="4">
        <v>3</v>
      </c>
      <c r="D1672" s="8">
        <v>1.27</v>
      </c>
      <c r="E1672" s="4">
        <v>0</v>
      </c>
      <c r="F1672" s="8">
        <v>0</v>
      </c>
      <c r="G1672" s="4">
        <v>3</v>
      </c>
      <c r="H1672" s="8">
        <v>3.06</v>
      </c>
      <c r="I1672" s="4">
        <v>0</v>
      </c>
    </row>
    <row r="1673" spans="1:9" x14ac:dyDescent="0.2">
      <c r="A1673" s="2">
        <v>19</v>
      </c>
      <c r="B1673" s="1" t="s">
        <v>174</v>
      </c>
      <c r="C1673" s="4">
        <v>3</v>
      </c>
      <c r="D1673" s="8">
        <v>1.27</v>
      </c>
      <c r="E1673" s="4">
        <v>0</v>
      </c>
      <c r="F1673" s="8">
        <v>0</v>
      </c>
      <c r="G1673" s="4">
        <v>3</v>
      </c>
      <c r="H1673" s="8">
        <v>3.06</v>
      </c>
      <c r="I1673" s="4">
        <v>0</v>
      </c>
    </row>
    <row r="1674" spans="1:9" x14ac:dyDescent="0.2">
      <c r="A1674" s="2">
        <v>19</v>
      </c>
      <c r="B1674" s="1" t="s">
        <v>260</v>
      </c>
      <c r="C1674" s="4">
        <v>3</v>
      </c>
      <c r="D1674" s="8">
        <v>1.27</v>
      </c>
      <c r="E1674" s="4">
        <v>3</v>
      </c>
      <c r="F1674" s="8">
        <v>2.2200000000000002</v>
      </c>
      <c r="G1674" s="4">
        <v>0</v>
      </c>
      <c r="H1674" s="8">
        <v>0</v>
      </c>
      <c r="I1674" s="4">
        <v>0</v>
      </c>
    </row>
    <row r="1675" spans="1:9" x14ac:dyDescent="0.2">
      <c r="A1675" s="2">
        <v>19</v>
      </c>
      <c r="B1675" s="1" t="s">
        <v>159</v>
      </c>
      <c r="C1675" s="4">
        <v>3</v>
      </c>
      <c r="D1675" s="8">
        <v>1.27</v>
      </c>
      <c r="E1675" s="4">
        <v>1</v>
      </c>
      <c r="F1675" s="8">
        <v>0.74</v>
      </c>
      <c r="G1675" s="4">
        <v>2</v>
      </c>
      <c r="H1675" s="8">
        <v>2.04</v>
      </c>
      <c r="I1675" s="4">
        <v>0</v>
      </c>
    </row>
    <row r="1676" spans="1:9" x14ac:dyDescent="0.2">
      <c r="A1676" s="2">
        <v>19</v>
      </c>
      <c r="B1676" s="1" t="s">
        <v>168</v>
      </c>
      <c r="C1676" s="4">
        <v>3</v>
      </c>
      <c r="D1676" s="8">
        <v>1.27</v>
      </c>
      <c r="E1676" s="4">
        <v>3</v>
      </c>
      <c r="F1676" s="8">
        <v>2.2200000000000002</v>
      </c>
      <c r="G1676" s="4">
        <v>0</v>
      </c>
      <c r="H1676" s="8">
        <v>0</v>
      </c>
      <c r="I1676" s="4">
        <v>0</v>
      </c>
    </row>
    <row r="1677" spans="1:9" x14ac:dyDescent="0.2">
      <c r="A1677" s="1"/>
      <c r="C1677" s="4"/>
      <c r="D1677" s="8"/>
      <c r="E1677" s="4"/>
      <c r="F1677" s="8"/>
      <c r="G1677" s="4"/>
      <c r="H1677" s="8"/>
      <c r="I1677" s="4"/>
    </row>
    <row r="1678" spans="1:9" x14ac:dyDescent="0.2">
      <c r="A1678" s="1" t="s">
        <v>73</v>
      </c>
      <c r="C1678" s="4"/>
      <c r="D1678" s="8"/>
      <c r="E1678" s="4"/>
      <c r="F1678" s="8"/>
      <c r="G1678" s="4"/>
      <c r="H1678" s="8"/>
      <c r="I1678" s="4"/>
    </row>
    <row r="1679" spans="1:9" x14ac:dyDescent="0.2">
      <c r="A1679" s="2">
        <v>1</v>
      </c>
      <c r="B1679" s="1" t="s">
        <v>160</v>
      </c>
      <c r="C1679" s="4">
        <v>33</v>
      </c>
      <c r="D1679" s="8">
        <v>10.15</v>
      </c>
      <c r="E1679" s="4">
        <v>27</v>
      </c>
      <c r="F1679" s="8">
        <v>15.08</v>
      </c>
      <c r="G1679" s="4">
        <v>6</v>
      </c>
      <c r="H1679" s="8">
        <v>4.2</v>
      </c>
      <c r="I1679" s="4">
        <v>0</v>
      </c>
    </row>
    <row r="1680" spans="1:9" x14ac:dyDescent="0.2">
      <c r="A1680" s="2">
        <v>2</v>
      </c>
      <c r="B1680" s="1" t="s">
        <v>190</v>
      </c>
      <c r="C1680" s="4">
        <v>13</v>
      </c>
      <c r="D1680" s="8">
        <v>4</v>
      </c>
      <c r="E1680" s="4">
        <v>0</v>
      </c>
      <c r="F1680" s="8">
        <v>0</v>
      </c>
      <c r="G1680" s="4">
        <v>13</v>
      </c>
      <c r="H1680" s="8">
        <v>9.09</v>
      </c>
      <c r="I1680" s="4">
        <v>0</v>
      </c>
    </row>
    <row r="1681" spans="1:9" x14ac:dyDescent="0.2">
      <c r="A1681" s="2">
        <v>3</v>
      </c>
      <c r="B1681" s="1" t="s">
        <v>215</v>
      </c>
      <c r="C1681" s="4">
        <v>11</v>
      </c>
      <c r="D1681" s="8">
        <v>3.38</v>
      </c>
      <c r="E1681" s="4">
        <v>10</v>
      </c>
      <c r="F1681" s="8">
        <v>5.59</v>
      </c>
      <c r="G1681" s="4">
        <v>1</v>
      </c>
      <c r="H1681" s="8">
        <v>0.7</v>
      </c>
      <c r="I1681" s="4">
        <v>0</v>
      </c>
    </row>
    <row r="1682" spans="1:9" x14ac:dyDescent="0.2">
      <c r="A1682" s="2">
        <v>4</v>
      </c>
      <c r="B1682" s="1" t="s">
        <v>174</v>
      </c>
      <c r="C1682" s="4">
        <v>10</v>
      </c>
      <c r="D1682" s="8">
        <v>3.08</v>
      </c>
      <c r="E1682" s="4">
        <v>4</v>
      </c>
      <c r="F1682" s="8">
        <v>2.23</v>
      </c>
      <c r="G1682" s="4">
        <v>6</v>
      </c>
      <c r="H1682" s="8">
        <v>4.2</v>
      </c>
      <c r="I1682" s="4">
        <v>0</v>
      </c>
    </row>
    <row r="1683" spans="1:9" x14ac:dyDescent="0.2">
      <c r="A1683" s="2">
        <v>4</v>
      </c>
      <c r="B1683" s="1" t="s">
        <v>161</v>
      </c>
      <c r="C1683" s="4">
        <v>10</v>
      </c>
      <c r="D1683" s="8">
        <v>3.08</v>
      </c>
      <c r="E1683" s="4">
        <v>9</v>
      </c>
      <c r="F1683" s="8">
        <v>5.03</v>
      </c>
      <c r="G1683" s="4">
        <v>1</v>
      </c>
      <c r="H1683" s="8">
        <v>0.7</v>
      </c>
      <c r="I1683" s="4">
        <v>0</v>
      </c>
    </row>
    <row r="1684" spans="1:9" x14ac:dyDescent="0.2">
      <c r="A1684" s="2">
        <v>6</v>
      </c>
      <c r="B1684" s="1" t="s">
        <v>159</v>
      </c>
      <c r="C1684" s="4">
        <v>9</v>
      </c>
      <c r="D1684" s="8">
        <v>2.77</v>
      </c>
      <c r="E1684" s="4">
        <v>4</v>
      </c>
      <c r="F1684" s="8">
        <v>2.23</v>
      </c>
      <c r="G1684" s="4">
        <v>5</v>
      </c>
      <c r="H1684" s="8">
        <v>3.5</v>
      </c>
      <c r="I1684" s="4">
        <v>0</v>
      </c>
    </row>
    <row r="1685" spans="1:9" x14ac:dyDescent="0.2">
      <c r="A1685" s="2">
        <v>7</v>
      </c>
      <c r="B1685" s="1" t="s">
        <v>225</v>
      </c>
      <c r="C1685" s="4">
        <v>7</v>
      </c>
      <c r="D1685" s="8">
        <v>2.15</v>
      </c>
      <c r="E1685" s="4">
        <v>3</v>
      </c>
      <c r="F1685" s="8">
        <v>1.68</v>
      </c>
      <c r="G1685" s="4">
        <v>4</v>
      </c>
      <c r="H1685" s="8">
        <v>2.8</v>
      </c>
      <c r="I1685" s="4">
        <v>0</v>
      </c>
    </row>
    <row r="1686" spans="1:9" x14ac:dyDescent="0.2">
      <c r="A1686" s="2">
        <v>7</v>
      </c>
      <c r="B1686" s="1" t="s">
        <v>169</v>
      </c>
      <c r="C1686" s="4">
        <v>7</v>
      </c>
      <c r="D1686" s="8">
        <v>2.15</v>
      </c>
      <c r="E1686" s="4">
        <v>7</v>
      </c>
      <c r="F1686" s="8">
        <v>3.91</v>
      </c>
      <c r="G1686" s="4">
        <v>0</v>
      </c>
      <c r="H1686" s="8">
        <v>0</v>
      </c>
      <c r="I1686" s="4">
        <v>0</v>
      </c>
    </row>
    <row r="1687" spans="1:9" x14ac:dyDescent="0.2">
      <c r="A1687" s="2">
        <v>7</v>
      </c>
      <c r="B1687" s="1" t="s">
        <v>198</v>
      </c>
      <c r="C1687" s="4">
        <v>7</v>
      </c>
      <c r="D1687" s="8">
        <v>2.15</v>
      </c>
      <c r="E1687" s="4">
        <v>7</v>
      </c>
      <c r="F1687" s="8">
        <v>3.91</v>
      </c>
      <c r="G1687" s="4">
        <v>0</v>
      </c>
      <c r="H1687" s="8">
        <v>0</v>
      </c>
      <c r="I1687" s="4">
        <v>0</v>
      </c>
    </row>
    <row r="1688" spans="1:9" x14ac:dyDescent="0.2">
      <c r="A1688" s="2">
        <v>10</v>
      </c>
      <c r="B1688" s="1" t="s">
        <v>261</v>
      </c>
      <c r="C1688" s="4">
        <v>6</v>
      </c>
      <c r="D1688" s="8">
        <v>1.85</v>
      </c>
      <c r="E1688" s="4">
        <v>3</v>
      </c>
      <c r="F1688" s="8">
        <v>1.68</v>
      </c>
      <c r="G1688" s="4">
        <v>3</v>
      </c>
      <c r="H1688" s="8">
        <v>2.1</v>
      </c>
      <c r="I1688" s="4">
        <v>0</v>
      </c>
    </row>
    <row r="1689" spans="1:9" x14ac:dyDescent="0.2">
      <c r="A1689" s="2">
        <v>10</v>
      </c>
      <c r="B1689" s="1" t="s">
        <v>168</v>
      </c>
      <c r="C1689" s="4">
        <v>6</v>
      </c>
      <c r="D1689" s="8">
        <v>1.85</v>
      </c>
      <c r="E1689" s="4">
        <v>6</v>
      </c>
      <c r="F1689" s="8">
        <v>3.35</v>
      </c>
      <c r="G1689" s="4">
        <v>0</v>
      </c>
      <c r="H1689" s="8">
        <v>0</v>
      </c>
      <c r="I1689" s="4">
        <v>0</v>
      </c>
    </row>
    <row r="1690" spans="1:9" x14ac:dyDescent="0.2">
      <c r="A1690" s="2">
        <v>12</v>
      </c>
      <c r="B1690" s="1" t="s">
        <v>152</v>
      </c>
      <c r="C1690" s="4">
        <v>5</v>
      </c>
      <c r="D1690" s="8">
        <v>1.54</v>
      </c>
      <c r="E1690" s="4">
        <v>1</v>
      </c>
      <c r="F1690" s="8">
        <v>0.56000000000000005</v>
      </c>
      <c r="G1690" s="4">
        <v>4</v>
      </c>
      <c r="H1690" s="8">
        <v>2.8</v>
      </c>
      <c r="I1690" s="4">
        <v>0</v>
      </c>
    </row>
    <row r="1691" spans="1:9" x14ac:dyDescent="0.2">
      <c r="A1691" s="2">
        <v>12</v>
      </c>
      <c r="B1691" s="1" t="s">
        <v>153</v>
      </c>
      <c r="C1691" s="4">
        <v>5</v>
      </c>
      <c r="D1691" s="8">
        <v>1.54</v>
      </c>
      <c r="E1691" s="4">
        <v>0</v>
      </c>
      <c r="F1691" s="8">
        <v>0</v>
      </c>
      <c r="G1691" s="4">
        <v>5</v>
      </c>
      <c r="H1691" s="8">
        <v>3.5</v>
      </c>
      <c r="I1691" s="4">
        <v>0</v>
      </c>
    </row>
    <row r="1692" spans="1:9" x14ac:dyDescent="0.2">
      <c r="A1692" s="2">
        <v>12</v>
      </c>
      <c r="B1692" s="1" t="s">
        <v>156</v>
      </c>
      <c r="C1692" s="4">
        <v>5</v>
      </c>
      <c r="D1692" s="8">
        <v>1.54</v>
      </c>
      <c r="E1692" s="4">
        <v>5</v>
      </c>
      <c r="F1692" s="8">
        <v>2.79</v>
      </c>
      <c r="G1692" s="4">
        <v>0</v>
      </c>
      <c r="H1692" s="8">
        <v>0</v>
      </c>
      <c r="I1692" s="4">
        <v>0</v>
      </c>
    </row>
    <row r="1693" spans="1:9" x14ac:dyDescent="0.2">
      <c r="A1693" s="2">
        <v>12</v>
      </c>
      <c r="B1693" s="1" t="s">
        <v>167</v>
      </c>
      <c r="C1693" s="4">
        <v>5</v>
      </c>
      <c r="D1693" s="8">
        <v>1.54</v>
      </c>
      <c r="E1693" s="4">
        <v>4</v>
      </c>
      <c r="F1693" s="8">
        <v>2.23</v>
      </c>
      <c r="G1693" s="4">
        <v>1</v>
      </c>
      <c r="H1693" s="8">
        <v>0.7</v>
      </c>
      <c r="I1693" s="4">
        <v>0</v>
      </c>
    </row>
    <row r="1694" spans="1:9" x14ac:dyDescent="0.2">
      <c r="A1694" s="2">
        <v>12</v>
      </c>
      <c r="B1694" s="1" t="s">
        <v>170</v>
      </c>
      <c r="C1694" s="4">
        <v>5</v>
      </c>
      <c r="D1694" s="8">
        <v>1.54</v>
      </c>
      <c r="E1694" s="4">
        <v>5</v>
      </c>
      <c r="F1694" s="8">
        <v>2.79</v>
      </c>
      <c r="G1694" s="4">
        <v>0</v>
      </c>
      <c r="H1694" s="8">
        <v>0</v>
      </c>
      <c r="I1694" s="4">
        <v>0</v>
      </c>
    </row>
    <row r="1695" spans="1:9" x14ac:dyDescent="0.2">
      <c r="A1695" s="2">
        <v>12</v>
      </c>
      <c r="B1695" s="1" t="s">
        <v>173</v>
      </c>
      <c r="C1695" s="4">
        <v>5</v>
      </c>
      <c r="D1695" s="8">
        <v>1.54</v>
      </c>
      <c r="E1695" s="4">
        <v>0</v>
      </c>
      <c r="F1695" s="8">
        <v>0</v>
      </c>
      <c r="G1695" s="4">
        <v>5</v>
      </c>
      <c r="H1695" s="8">
        <v>3.5</v>
      </c>
      <c r="I1695" s="4">
        <v>0</v>
      </c>
    </row>
    <row r="1696" spans="1:9" x14ac:dyDescent="0.2">
      <c r="A1696" s="2">
        <v>18</v>
      </c>
      <c r="B1696" s="1" t="s">
        <v>191</v>
      </c>
      <c r="C1696" s="4">
        <v>4</v>
      </c>
      <c r="D1696" s="8">
        <v>1.23</v>
      </c>
      <c r="E1696" s="4">
        <v>2</v>
      </c>
      <c r="F1696" s="8">
        <v>1.1200000000000001</v>
      </c>
      <c r="G1696" s="4">
        <v>2</v>
      </c>
      <c r="H1696" s="8">
        <v>1.4</v>
      </c>
      <c r="I1696" s="4">
        <v>0</v>
      </c>
    </row>
    <row r="1697" spans="1:9" x14ac:dyDescent="0.2">
      <c r="A1697" s="2">
        <v>18</v>
      </c>
      <c r="B1697" s="1" t="s">
        <v>229</v>
      </c>
      <c r="C1697" s="4">
        <v>4</v>
      </c>
      <c r="D1697" s="8">
        <v>1.23</v>
      </c>
      <c r="E1697" s="4">
        <v>2</v>
      </c>
      <c r="F1697" s="8">
        <v>1.1200000000000001</v>
      </c>
      <c r="G1697" s="4">
        <v>2</v>
      </c>
      <c r="H1697" s="8">
        <v>1.4</v>
      </c>
      <c r="I1697" s="4">
        <v>0</v>
      </c>
    </row>
    <row r="1698" spans="1:9" x14ac:dyDescent="0.2">
      <c r="A1698" s="2">
        <v>18</v>
      </c>
      <c r="B1698" s="1" t="s">
        <v>192</v>
      </c>
      <c r="C1698" s="4">
        <v>4</v>
      </c>
      <c r="D1698" s="8">
        <v>1.23</v>
      </c>
      <c r="E1698" s="4">
        <v>2</v>
      </c>
      <c r="F1698" s="8">
        <v>1.1200000000000001</v>
      </c>
      <c r="G1698" s="4">
        <v>2</v>
      </c>
      <c r="H1698" s="8">
        <v>1.4</v>
      </c>
      <c r="I1698" s="4">
        <v>0</v>
      </c>
    </row>
    <row r="1699" spans="1:9" x14ac:dyDescent="0.2">
      <c r="A1699" s="2">
        <v>18</v>
      </c>
      <c r="B1699" s="1" t="s">
        <v>245</v>
      </c>
      <c r="C1699" s="4">
        <v>4</v>
      </c>
      <c r="D1699" s="8">
        <v>1.23</v>
      </c>
      <c r="E1699" s="4">
        <v>3</v>
      </c>
      <c r="F1699" s="8">
        <v>1.68</v>
      </c>
      <c r="G1699" s="4">
        <v>1</v>
      </c>
      <c r="H1699" s="8">
        <v>0.7</v>
      </c>
      <c r="I1699" s="4">
        <v>0</v>
      </c>
    </row>
    <row r="1700" spans="1:9" x14ac:dyDescent="0.2">
      <c r="A1700" s="2">
        <v>18</v>
      </c>
      <c r="B1700" s="1" t="s">
        <v>157</v>
      </c>
      <c r="C1700" s="4">
        <v>4</v>
      </c>
      <c r="D1700" s="8">
        <v>1.23</v>
      </c>
      <c r="E1700" s="4">
        <v>3</v>
      </c>
      <c r="F1700" s="8">
        <v>1.68</v>
      </c>
      <c r="G1700" s="4">
        <v>1</v>
      </c>
      <c r="H1700" s="8">
        <v>0.7</v>
      </c>
      <c r="I1700" s="4">
        <v>0</v>
      </c>
    </row>
    <row r="1701" spans="1:9" x14ac:dyDescent="0.2">
      <c r="A1701" s="2">
        <v>18</v>
      </c>
      <c r="B1701" s="1" t="s">
        <v>171</v>
      </c>
      <c r="C1701" s="4">
        <v>4</v>
      </c>
      <c r="D1701" s="8">
        <v>1.23</v>
      </c>
      <c r="E1701" s="4">
        <v>4</v>
      </c>
      <c r="F1701" s="8">
        <v>2.23</v>
      </c>
      <c r="G1701" s="4">
        <v>0</v>
      </c>
      <c r="H1701" s="8">
        <v>0</v>
      </c>
      <c r="I1701" s="4">
        <v>0</v>
      </c>
    </row>
    <row r="1702" spans="1:9" x14ac:dyDescent="0.2">
      <c r="A1702" s="1"/>
      <c r="C1702" s="4"/>
      <c r="D1702" s="8"/>
      <c r="E1702" s="4"/>
      <c r="F1702" s="8"/>
      <c r="G1702" s="4"/>
      <c r="H1702" s="8"/>
      <c r="I1702" s="4"/>
    </row>
    <row r="1703" spans="1:9" x14ac:dyDescent="0.2">
      <c r="A1703" s="1" t="s">
        <v>74</v>
      </c>
      <c r="C1703" s="4"/>
      <c r="D1703" s="8"/>
      <c r="E1703" s="4"/>
      <c r="F1703" s="8"/>
      <c r="G1703" s="4"/>
      <c r="H1703" s="8"/>
      <c r="I1703" s="4"/>
    </row>
    <row r="1704" spans="1:9" x14ac:dyDescent="0.2">
      <c r="A1704" s="2">
        <v>1</v>
      </c>
      <c r="B1704" s="1" t="s">
        <v>190</v>
      </c>
      <c r="C1704" s="4">
        <v>14</v>
      </c>
      <c r="D1704" s="8">
        <v>11.76</v>
      </c>
      <c r="E1704" s="4">
        <v>5</v>
      </c>
      <c r="F1704" s="8">
        <v>7.81</v>
      </c>
      <c r="G1704" s="4">
        <v>9</v>
      </c>
      <c r="H1704" s="8">
        <v>16.98</v>
      </c>
      <c r="I1704" s="4">
        <v>0</v>
      </c>
    </row>
    <row r="1705" spans="1:9" x14ac:dyDescent="0.2">
      <c r="A1705" s="2">
        <v>2</v>
      </c>
      <c r="B1705" s="1" t="s">
        <v>159</v>
      </c>
      <c r="C1705" s="4">
        <v>5</v>
      </c>
      <c r="D1705" s="8">
        <v>4.2</v>
      </c>
      <c r="E1705" s="4">
        <v>0</v>
      </c>
      <c r="F1705" s="8">
        <v>0</v>
      </c>
      <c r="G1705" s="4">
        <v>5</v>
      </c>
      <c r="H1705" s="8">
        <v>9.43</v>
      </c>
      <c r="I1705" s="4">
        <v>0</v>
      </c>
    </row>
    <row r="1706" spans="1:9" x14ac:dyDescent="0.2">
      <c r="A1706" s="2">
        <v>2</v>
      </c>
      <c r="B1706" s="1" t="s">
        <v>161</v>
      </c>
      <c r="C1706" s="4">
        <v>5</v>
      </c>
      <c r="D1706" s="8">
        <v>4.2</v>
      </c>
      <c r="E1706" s="4">
        <v>5</v>
      </c>
      <c r="F1706" s="8">
        <v>7.81</v>
      </c>
      <c r="G1706" s="4">
        <v>0</v>
      </c>
      <c r="H1706" s="8">
        <v>0</v>
      </c>
      <c r="I1706" s="4">
        <v>0</v>
      </c>
    </row>
    <row r="1707" spans="1:9" x14ac:dyDescent="0.2">
      <c r="A1707" s="2">
        <v>4</v>
      </c>
      <c r="B1707" s="1" t="s">
        <v>167</v>
      </c>
      <c r="C1707" s="4">
        <v>4</v>
      </c>
      <c r="D1707" s="8">
        <v>3.36</v>
      </c>
      <c r="E1707" s="4">
        <v>4</v>
      </c>
      <c r="F1707" s="8">
        <v>6.25</v>
      </c>
      <c r="G1707" s="4">
        <v>0</v>
      </c>
      <c r="H1707" s="8">
        <v>0</v>
      </c>
      <c r="I1707" s="4">
        <v>0</v>
      </c>
    </row>
    <row r="1708" spans="1:9" x14ac:dyDescent="0.2">
      <c r="A1708" s="2">
        <v>5</v>
      </c>
      <c r="B1708" s="1" t="s">
        <v>262</v>
      </c>
      <c r="C1708" s="4">
        <v>3</v>
      </c>
      <c r="D1708" s="8">
        <v>2.52</v>
      </c>
      <c r="E1708" s="4">
        <v>1</v>
      </c>
      <c r="F1708" s="8">
        <v>1.56</v>
      </c>
      <c r="G1708" s="4">
        <v>2</v>
      </c>
      <c r="H1708" s="8">
        <v>3.77</v>
      </c>
      <c r="I1708" s="4">
        <v>0</v>
      </c>
    </row>
    <row r="1709" spans="1:9" x14ac:dyDescent="0.2">
      <c r="A1709" s="2">
        <v>5</v>
      </c>
      <c r="B1709" s="1" t="s">
        <v>217</v>
      </c>
      <c r="C1709" s="4">
        <v>3</v>
      </c>
      <c r="D1709" s="8">
        <v>2.52</v>
      </c>
      <c r="E1709" s="4">
        <v>1</v>
      </c>
      <c r="F1709" s="8">
        <v>1.56</v>
      </c>
      <c r="G1709" s="4">
        <v>2</v>
      </c>
      <c r="H1709" s="8">
        <v>3.77</v>
      </c>
      <c r="I1709" s="4">
        <v>0</v>
      </c>
    </row>
    <row r="1710" spans="1:9" x14ac:dyDescent="0.2">
      <c r="A1710" s="2">
        <v>5</v>
      </c>
      <c r="B1710" s="1" t="s">
        <v>245</v>
      </c>
      <c r="C1710" s="4">
        <v>3</v>
      </c>
      <c r="D1710" s="8">
        <v>2.52</v>
      </c>
      <c r="E1710" s="4">
        <v>3</v>
      </c>
      <c r="F1710" s="8">
        <v>4.6900000000000004</v>
      </c>
      <c r="G1710" s="4">
        <v>0</v>
      </c>
      <c r="H1710" s="8">
        <v>0</v>
      </c>
      <c r="I1710" s="4">
        <v>0</v>
      </c>
    </row>
    <row r="1711" spans="1:9" x14ac:dyDescent="0.2">
      <c r="A1711" s="2">
        <v>8</v>
      </c>
      <c r="B1711" s="1" t="s">
        <v>224</v>
      </c>
      <c r="C1711" s="4">
        <v>2</v>
      </c>
      <c r="D1711" s="8">
        <v>1.68</v>
      </c>
      <c r="E1711" s="4">
        <v>1</v>
      </c>
      <c r="F1711" s="8">
        <v>1.56</v>
      </c>
      <c r="G1711" s="4">
        <v>1</v>
      </c>
      <c r="H1711" s="8">
        <v>1.89</v>
      </c>
      <c r="I1711" s="4">
        <v>0</v>
      </c>
    </row>
    <row r="1712" spans="1:9" x14ac:dyDescent="0.2">
      <c r="A1712" s="2">
        <v>8</v>
      </c>
      <c r="B1712" s="1" t="s">
        <v>210</v>
      </c>
      <c r="C1712" s="4">
        <v>2</v>
      </c>
      <c r="D1712" s="8">
        <v>1.68</v>
      </c>
      <c r="E1712" s="4">
        <v>2</v>
      </c>
      <c r="F1712" s="8">
        <v>3.13</v>
      </c>
      <c r="G1712" s="4">
        <v>0</v>
      </c>
      <c r="H1712" s="8">
        <v>0</v>
      </c>
      <c r="I1712" s="4">
        <v>0</v>
      </c>
    </row>
    <row r="1713" spans="1:9" x14ac:dyDescent="0.2">
      <c r="A1713" s="2">
        <v>8</v>
      </c>
      <c r="B1713" s="1" t="s">
        <v>239</v>
      </c>
      <c r="C1713" s="4">
        <v>2</v>
      </c>
      <c r="D1713" s="8">
        <v>1.68</v>
      </c>
      <c r="E1713" s="4">
        <v>1</v>
      </c>
      <c r="F1713" s="8">
        <v>1.56</v>
      </c>
      <c r="G1713" s="4">
        <v>1</v>
      </c>
      <c r="H1713" s="8">
        <v>1.89</v>
      </c>
      <c r="I1713" s="4">
        <v>0</v>
      </c>
    </row>
    <row r="1714" spans="1:9" x14ac:dyDescent="0.2">
      <c r="A1714" s="2">
        <v>8</v>
      </c>
      <c r="B1714" s="1" t="s">
        <v>260</v>
      </c>
      <c r="C1714" s="4">
        <v>2</v>
      </c>
      <c r="D1714" s="8">
        <v>1.68</v>
      </c>
      <c r="E1714" s="4">
        <v>1</v>
      </c>
      <c r="F1714" s="8">
        <v>1.56</v>
      </c>
      <c r="G1714" s="4">
        <v>1</v>
      </c>
      <c r="H1714" s="8">
        <v>1.89</v>
      </c>
      <c r="I1714" s="4">
        <v>0</v>
      </c>
    </row>
    <row r="1715" spans="1:9" x14ac:dyDescent="0.2">
      <c r="A1715" s="2">
        <v>8</v>
      </c>
      <c r="B1715" s="1" t="s">
        <v>229</v>
      </c>
      <c r="C1715" s="4">
        <v>2</v>
      </c>
      <c r="D1715" s="8">
        <v>1.68</v>
      </c>
      <c r="E1715" s="4">
        <v>1</v>
      </c>
      <c r="F1715" s="8">
        <v>1.56</v>
      </c>
      <c r="G1715" s="4">
        <v>1</v>
      </c>
      <c r="H1715" s="8">
        <v>1.89</v>
      </c>
      <c r="I1715" s="4">
        <v>0</v>
      </c>
    </row>
    <row r="1716" spans="1:9" x14ac:dyDescent="0.2">
      <c r="A1716" s="2">
        <v>8</v>
      </c>
      <c r="B1716" s="1" t="s">
        <v>241</v>
      </c>
      <c r="C1716" s="4">
        <v>2</v>
      </c>
      <c r="D1716" s="8">
        <v>1.68</v>
      </c>
      <c r="E1716" s="4">
        <v>1</v>
      </c>
      <c r="F1716" s="8">
        <v>1.56</v>
      </c>
      <c r="G1716" s="4">
        <v>1</v>
      </c>
      <c r="H1716" s="8">
        <v>1.89</v>
      </c>
      <c r="I1716" s="4">
        <v>0</v>
      </c>
    </row>
    <row r="1717" spans="1:9" x14ac:dyDescent="0.2">
      <c r="A1717" s="2">
        <v>8</v>
      </c>
      <c r="B1717" s="1" t="s">
        <v>227</v>
      </c>
      <c r="C1717" s="4">
        <v>2</v>
      </c>
      <c r="D1717" s="8">
        <v>1.68</v>
      </c>
      <c r="E1717" s="4">
        <v>2</v>
      </c>
      <c r="F1717" s="8">
        <v>3.13</v>
      </c>
      <c r="G1717" s="4">
        <v>0</v>
      </c>
      <c r="H1717" s="8">
        <v>0</v>
      </c>
      <c r="I1717" s="4">
        <v>0</v>
      </c>
    </row>
    <row r="1718" spans="1:9" x14ac:dyDescent="0.2">
      <c r="A1718" s="2">
        <v>8</v>
      </c>
      <c r="B1718" s="1" t="s">
        <v>263</v>
      </c>
      <c r="C1718" s="4">
        <v>2</v>
      </c>
      <c r="D1718" s="8">
        <v>1.68</v>
      </c>
      <c r="E1718" s="4">
        <v>2</v>
      </c>
      <c r="F1718" s="8">
        <v>3.13</v>
      </c>
      <c r="G1718" s="4">
        <v>0</v>
      </c>
      <c r="H1718" s="8">
        <v>0</v>
      </c>
      <c r="I1718" s="4">
        <v>0</v>
      </c>
    </row>
    <row r="1719" spans="1:9" x14ac:dyDescent="0.2">
      <c r="A1719" s="2">
        <v>8</v>
      </c>
      <c r="B1719" s="1" t="s">
        <v>244</v>
      </c>
      <c r="C1719" s="4">
        <v>2</v>
      </c>
      <c r="D1719" s="8">
        <v>1.68</v>
      </c>
      <c r="E1719" s="4">
        <v>1</v>
      </c>
      <c r="F1719" s="8">
        <v>1.56</v>
      </c>
      <c r="G1719" s="4">
        <v>1</v>
      </c>
      <c r="H1719" s="8">
        <v>1.89</v>
      </c>
      <c r="I1719" s="4">
        <v>0</v>
      </c>
    </row>
    <row r="1720" spans="1:9" x14ac:dyDescent="0.2">
      <c r="A1720" s="2">
        <v>8</v>
      </c>
      <c r="B1720" s="1" t="s">
        <v>192</v>
      </c>
      <c r="C1720" s="4">
        <v>2</v>
      </c>
      <c r="D1720" s="8">
        <v>1.68</v>
      </c>
      <c r="E1720" s="4">
        <v>1</v>
      </c>
      <c r="F1720" s="8">
        <v>1.56</v>
      </c>
      <c r="G1720" s="4">
        <v>1</v>
      </c>
      <c r="H1720" s="8">
        <v>1.89</v>
      </c>
      <c r="I1720" s="4">
        <v>0</v>
      </c>
    </row>
    <row r="1721" spans="1:9" x14ac:dyDescent="0.2">
      <c r="A1721" s="2">
        <v>8</v>
      </c>
      <c r="B1721" s="1" t="s">
        <v>264</v>
      </c>
      <c r="C1721" s="4">
        <v>2</v>
      </c>
      <c r="D1721" s="8">
        <v>1.68</v>
      </c>
      <c r="E1721" s="4">
        <v>0</v>
      </c>
      <c r="F1721" s="8">
        <v>0</v>
      </c>
      <c r="G1721" s="4">
        <v>2</v>
      </c>
      <c r="H1721" s="8">
        <v>3.77</v>
      </c>
      <c r="I1721" s="4">
        <v>0</v>
      </c>
    </row>
    <row r="1722" spans="1:9" x14ac:dyDescent="0.2">
      <c r="A1722" s="2">
        <v>8</v>
      </c>
      <c r="B1722" s="1" t="s">
        <v>265</v>
      </c>
      <c r="C1722" s="4">
        <v>2</v>
      </c>
      <c r="D1722" s="8">
        <v>1.68</v>
      </c>
      <c r="E1722" s="4">
        <v>0</v>
      </c>
      <c r="F1722" s="8">
        <v>0</v>
      </c>
      <c r="G1722" s="4">
        <v>2</v>
      </c>
      <c r="H1722" s="8">
        <v>3.77</v>
      </c>
      <c r="I1722" s="4">
        <v>0</v>
      </c>
    </row>
    <row r="1723" spans="1:9" x14ac:dyDescent="0.2">
      <c r="A1723" s="2">
        <v>8</v>
      </c>
      <c r="B1723" s="1" t="s">
        <v>266</v>
      </c>
      <c r="C1723" s="4">
        <v>2</v>
      </c>
      <c r="D1723" s="8">
        <v>1.68</v>
      </c>
      <c r="E1723" s="4">
        <v>1</v>
      </c>
      <c r="F1723" s="8">
        <v>1.56</v>
      </c>
      <c r="G1723" s="4">
        <v>1</v>
      </c>
      <c r="H1723" s="8">
        <v>1.89</v>
      </c>
      <c r="I1723" s="4">
        <v>0</v>
      </c>
    </row>
    <row r="1724" spans="1:9" x14ac:dyDescent="0.2">
      <c r="A1724" s="2">
        <v>8</v>
      </c>
      <c r="B1724" s="1" t="s">
        <v>181</v>
      </c>
      <c r="C1724" s="4">
        <v>2</v>
      </c>
      <c r="D1724" s="8">
        <v>1.68</v>
      </c>
      <c r="E1724" s="4">
        <v>2</v>
      </c>
      <c r="F1724" s="8">
        <v>3.13</v>
      </c>
      <c r="G1724" s="4">
        <v>0</v>
      </c>
      <c r="H1724" s="8">
        <v>0</v>
      </c>
      <c r="I1724" s="4">
        <v>0</v>
      </c>
    </row>
    <row r="1725" spans="1:9" x14ac:dyDescent="0.2">
      <c r="A1725" s="2">
        <v>8</v>
      </c>
      <c r="B1725" s="1" t="s">
        <v>267</v>
      </c>
      <c r="C1725" s="4">
        <v>2</v>
      </c>
      <c r="D1725" s="8">
        <v>1.68</v>
      </c>
      <c r="E1725" s="4">
        <v>1</v>
      </c>
      <c r="F1725" s="8">
        <v>1.56</v>
      </c>
      <c r="G1725" s="4">
        <v>0</v>
      </c>
      <c r="H1725" s="8">
        <v>0</v>
      </c>
      <c r="I1725" s="4">
        <v>0</v>
      </c>
    </row>
    <row r="1726" spans="1:9" x14ac:dyDescent="0.2">
      <c r="A1726" s="2">
        <v>8</v>
      </c>
      <c r="B1726" s="1" t="s">
        <v>168</v>
      </c>
      <c r="C1726" s="4">
        <v>2</v>
      </c>
      <c r="D1726" s="8">
        <v>1.68</v>
      </c>
      <c r="E1726" s="4">
        <v>2</v>
      </c>
      <c r="F1726" s="8">
        <v>3.13</v>
      </c>
      <c r="G1726" s="4">
        <v>0</v>
      </c>
      <c r="H1726" s="8">
        <v>0</v>
      </c>
      <c r="I1726" s="4">
        <v>0</v>
      </c>
    </row>
    <row r="1727" spans="1:9" x14ac:dyDescent="0.2">
      <c r="A1727" s="2">
        <v>8</v>
      </c>
      <c r="B1727" s="1" t="s">
        <v>259</v>
      </c>
      <c r="C1727" s="4">
        <v>2</v>
      </c>
      <c r="D1727" s="8">
        <v>1.68</v>
      </c>
      <c r="E1727" s="4">
        <v>1</v>
      </c>
      <c r="F1727" s="8">
        <v>1.56</v>
      </c>
      <c r="G1727" s="4">
        <v>1</v>
      </c>
      <c r="H1727" s="8">
        <v>1.89</v>
      </c>
      <c r="I1727" s="4">
        <v>0</v>
      </c>
    </row>
    <row r="1728" spans="1:9" x14ac:dyDescent="0.2">
      <c r="A1728" s="2">
        <v>8</v>
      </c>
      <c r="B1728" s="1" t="s">
        <v>199</v>
      </c>
      <c r="C1728" s="4">
        <v>2</v>
      </c>
      <c r="D1728" s="8">
        <v>1.68</v>
      </c>
      <c r="E1728" s="4">
        <v>2</v>
      </c>
      <c r="F1728" s="8">
        <v>3.13</v>
      </c>
      <c r="G1728" s="4">
        <v>0</v>
      </c>
      <c r="H1728" s="8">
        <v>0</v>
      </c>
      <c r="I1728" s="4">
        <v>0</v>
      </c>
    </row>
    <row r="1729" spans="1:9" x14ac:dyDescent="0.2">
      <c r="A1729" s="2">
        <v>8</v>
      </c>
      <c r="B1729" s="1" t="s">
        <v>170</v>
      </c>
      <c r="C1729" s="4">
        <v>2</v>
      </c>
      <c r="D1729" s="8">
        <v>1.68</v>
      </c>
      <c r="E1729" s="4">
        <v>2</v>
      </c>
      <c r="F1729" s="8">
        <v>3.13</v>
      </c>
      <c r="G1729" s="4">
        <v>0</v>
      </c>
      <c r="H1729" s="8">
        <v>0</v>
      </c>
      <c r="I1729" s="4">
        <v>0</v>
      </c>
    </row>
    <row r="1730" spans="1:9" x14ac:dyDescent="0.2">
      <c r="A1730" s="2">
        <v>8</v>
      </c>
      <c r="B1730" s="1" t="s">
        <v>198</v>
      </c>
      <c r="C1730" s="4">
        <v>2</v>
      </c>
      <c r="D1730" s="8">
        <v>1.68</v>
      </c>
      <c r="E1730" s="4">
        <v>2</v>
      </c>
      <c r="F1730" s="8">
        <v>3.13</v>
      </c>
      <c r="G1730" s="4">
        <v>0</v>
      </c>
      <c r="H1730" s="8">
        <v>0</v>
      </c>
      <c r="I1730" s="4">
        <v>0</v>
      </c>
    </row>
    <row r="1731" spans="1:9" x14ac:dyDescent="0.2">
      <c r="A1731" s="1"/>
      <c r="C1731" s="4"/>
      <c r="D1731" s="8"/>
      <c r="E1731" s="4"/>
      <c r="F1731" s="8"/>
      <c r="G1731" s="4"/>
      <c r="H1731" s="8"/>
      <c r="I1731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産業小分類トップ２０</oddHeader>
    <oddFooter>&amp;C&amp;P /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505AB-E0B4-48DD-A98E-9A3B3FB58BF8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309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793</v>
      </c>
      <c r="D6" s="8">
        <v>9.9</v>
      </c>
      <c r="E6" s="12">
        <v>157</v>
      </c>
      <c r="F6" s="8">
        <v>4.33</v>
      </c>
      <c r="G6" s="12">
        <v>636</v>
      </c>
      <c r="H6" s="8">
        <v>14.68</v>
      </c>
      <c r="I6" s="12">
        <v>0</v>
      </c>
    </row>
    <row r="7" spans="2:9" ht="15" customHeight="1" x14ac:dyDescent="0.2">
      <c r="B7" t="s">
        <v>77</v>
      </c>
      <c r="C7" s="12">
        <v>875</v>
      </c>
      <c r="D7" s="8">
        <v>10.93</v>
      </c>
      <c r="E7" s="12">
        <v>256</v>
      </c>
      <c r="F7" s="8">
        <v>7.06</v>
      </c>
      <c r="G7" s="12">
        <v>618</v>
      </c>
      <c r="H7" s="8">
        <v>14.26</v>
      </c>
      <c r="I7" s="12">
        <v>0</v>
      </c>
    </row>
    <row r="8" spans="2:9" ht="15" customHeight="1" x14ac:dyDescent="0.2">
      <c r="B8" t="s">
        <v>78</v>
      </c>
      <c r="C8" s="12">
        <v>3</v>
      </c>
      <c r="D8" s="8">
        <v>0.04</v>
      </c>
      <c r="E8" s="12">
        <v>1</v>
      </c>
      <c r="F8" s="8">
        <v>0.03</v>
      </c>
      <c r="G8" s="12">
        <v>2</v>
      </c>
      <c r="H8" s="8">
        <v>0.05</v>
      </c>
      <c r="I8" s="12">
        <v>0</v>
      </c>
    </row>
    <row r="9" spans="2:9" ht="15" customHeight="1" x14ac:dyDescent="0.2">
      <c r="B9" t="s">
        <v>79</v>
      </c>
      <c r="C9" s="12">
        <v>88</v>
      </c>
      <c r="D9" s="8">
        <v>1.1000000000000001</v>
      </c>
      <c r="E9" s="12">
        <v>6</v>
      </c>
      <c r="F9" s="8">
        <v>0.17</v>
      </c>
      <c r="G9" s="12">
        <v>82</v>
      </c>
      <c r="H9" s="8">
        <v>1.89</v>
      </c>
      <c r="I9" s="12">
        <v>0</v>
      </c>
    </row>
    <row r="10" spans="2:9" ht="15" customHeight="1" x14ac:dyDescent="0.2">
      <c r="B10" t="s">
        <v>80</v>
      </c>
      <c r="C10" s="12">
        <v>90</v>
      </c>
      <c r="D10" s="8">
        <v>1.1200000000000001</v>
      </c>
      <c r="E10" s="12">
        <v>51</v>
      </c>
      <c r="F10" s="8">
        <v>1.41</v>
      </c>
      <c r="G10" s="12">
        <v>39</v>
      </c>
      <c r="H10" s="8">
        <v>0.9</v>
      </c>
      <c r="I10" s="12">
        <v>0</v>
      </c>
    </row>
    <row r="11" spans="2:9" ht="15" customHeight="1" x14ac:dyDescent="0.2">
      <c r="B11" t="s">
        <v>81</v>
      </c>
      <c r="C11" s="12">
        <v>1469</v>
      </c>
      <c r="D11" s="8">
        <v>18.350000000000001</v>
      </c>
      <c r="E11" s="12">
        <v>662</v>
      </c>
      <c r="F11" s="8">
        <v>18.260000000000002</v>
      </c>
      <c r="G11" s="12">
        <v>807</v>
      </c>
      <c r="H11" s="8">
        <v>18.62</v>
      </c>
      <c r="I11" s="12">
        <v>0</v>
      </c>
    </row>
    <row r="12" spans="2:9" ht="15" customHeight="1" x14ac:dyDescent="0.2">
      <c r="B12" t="s">
        <v>82</v>
      </c>
      <c r="C12" s="12">
        <v>30</v>
      </c>
      <c r="D12" s="8">
        <v>0.37</v>
      </c>
      <c r="E12" s="12">
        <v>4</v>
      </c>
      <c r="F12" s="8">
        <v>0.11</v>
      </c>
      <c r="G12" s="12">
        <v>26</v>
      </c>
      <c r="H12" s="8">
        <v>0.6</v>
      </c>
      <c r="I12" s="12">
        <v>0</v>
      </c>
    </row>
    <row r="13" spans="2:9" ht="15" customHeight="1" x14ac:dyDescent="0.2">
      <c r="B13" t="s">
        <v>83</v>
      </c>
      <c r="C13" s="12">
        <v>1293</v>
      </c>
      <c r="D13" s="8">
        <v>16.149999999999999</v>
      </c>
      <c r="E13" s="12">
        <v>235</v>
      </c>
      <c r="F13" s="8">
        <v>6.48</v>
      </c>
      <c r="G13" s="12">
        <v>1058</v>
      </c>
      <c r="H13" s="8">
        <v>24.42</v>
      </c>
      <c r="I13" s="12">
        <v>0</v>
      </c>
    </row>
    <row r="14" spans="2:9" ht="15" customHeight="1" x14ac:dyDescent="0.2">
      <c r="B14" t="s">
        <v>84</v>
      </c>
      <c r="C14" s="12">
        <v>423</v>
      </c>
      <c r="D14" s="8">
        <v>5.28</v>
      </c>
      <c r="E14" s="12">
        <v>180</v>
      </c>
      <c r="F14" s="8">
        <v>4.97</v>
      </c>
      <c r="G14" s="12">
        <v>242</v>
      </c>
      <c r="H14" s="8">
        <v>5.59</v>
      </c>
      <c r="I14" s="12">
        <v>1</v>
      </c>
    </row>
    <row r="15" spans="2:9" ht="15" customHeight="1" x14ac:dyDescent="0.2">
      <c r="B15" t="s">
        <v>85</v>
      </c>
      <c r="C15" s="12">
        <v>948</v>
      </c>
      <c r="D15" s="8">
        <v>11.84</v>
      </c>
      <c r="E15" s="12">
        <v>810</v>
      </c>
      <c r="F15" s="8">
        <v>22.34</v>
      </c>
      <c r="G15" s="12">
        <v>138</v>
      </c>
      <c r="H15" s="8">
        <v>3.18</v>
      </c>
      <c r="I15" s="12">
        <v>0</v>
      </c>
    </row>
    <row r="16" spans="2:9" ht="15" customHeight="1" x14ac:dyDescent="0.2">
      <c r="B16" t="s">
        <v>86</v>
      </c>
      <c r="C16" s="12">
        <v>870</v>
      </c>
      <c r="D16" s="8">
        <v>10.87</v>
      </c>
      <c r="E16" s="12">
        <v>657</v>
      </c>
      <c r="F16" s="8">
        <v>18.12</v>
      </c>
      <c r="G16" s="12">
        <v>212</v>
      </c>
      <c r="H16" s="8">
        <v>4.8899999999999997</v>
      </c>
      <c r="I16" s="12">
        <v>1</v>
      </c>
    </row>
    <row r="17" spans="2:9" ht="15" customHeight="1" x14ac:dyDescent="0.2">
      <c r="B17" t="s">
        <v>87</v>
      </c>
      <c r="C17" s="12">
        <v>344</v>
      </c>
      <c r="D17" s="8">
        <v>4.3</v>
      </c>
      <c r="E17" s="12">
        <v>216</v>
      </c>
      <c r="F17" s="8">
        <v>5.96</v>
      </c>
      <c r="G17" s="12">
        <v>124</v>
      </c>
      <c r="H17" s="8">
        <v>2.86</v>
      </c>
      <c r="I17" s="12">
        <v>3</v>
      </c>
    </row>
    <row r="18" spans="2:9" ht="15" customHeight="1" x14ac:dyDescent="0.2">
      <c r="B18" t="s">
        <v>88</v>
      </c>
      <c r="C18" s="12">
        <v>507</v>
      </c>
      <c r="D18" s="8">
        <v>6.33</v>
      </c>
      <c r="E18" s="12">
        <v>310</v>
      </c>
      <c r="F18" s="8">
        <v>8.5500000000000007</v>
      </c>
      <c r="G18" s="12">
        <v>176</v>
      </c>
      <c r="H18" s="8">
        <v>4.0599999999999996</v>
      </c>
      <c r="I18" s="12">
        <v>0</v>
      </c>
    </row>
    <row r="19" spans="2:9" ht="15" customHeight="1" x14ac:dyDescent="0.2">
      <c r="B19" t="s">
        <v>89</v>
      </c>
      <c r="C19" s="12">
        <v>274</v>
      </c>
      <c r="D19" s="8">
        <v>3.42</v>
      </c>
      <c r="E19" s="12">
        <v>80</v>
      </c>
      <c r="F19" s="8">
        <v>2.21</v>
      </c>
      <c r="G19" s="12">
        <v>173</v>
      </c>
      <c r="H19" s="8">
        <v>3.99</v>
      </c>
      <c r="I19" s="12">
        <v>19</v>
      </c>
    </row>
    <row r="20" spans="2:9" ht="15" customHeight="1" x14ac:dyDescent="0.2">
      <c r="B20" s="9" t="s">
        <v>271</v>
      </c>
      <c r="C20" s="12">
        <f>SUM(LTBL_27203[総数／事業所数])</f>
        <v>8007</v>
      </c>
      <c r="E20" s="12">
        <f>SUBTOTAL(109,LTBL_27203[個人／事業所数])</f>
        <v>3625</v>
      </c>
      <c r="G20" s="12">
        <f>SUBTOTAL(109,LTBL_27203[法人／事業所数])</f>
        <v>4333</v>
      </c>
      <c r="I20" s="12">
        <f>SUBTOTAL(109,LTBL_27203[法人以外の団体／事業所数])</f>
        <v>24</v>
      </c>
    </row>
    <row r="21" spans="2:9" ht="15" customHeight="1" x14ac:dyDescent="0.2">
      <c r="E21" s="11">
        <f>LTBL_27203[[#Totals],[個人／事業所数]]/LTBL_27203[[#Totals],[総数／事業所数]]</f>
        <v>0.45272886224553516</v>
      </c>
      <c r="G21" s="11">
        <f>LTBL_27203[[#Totals],[法人／事業所数]]/LTBL_27203[[#Totals],[総数／事業所数]]</f>
        <v>0.54115149244411143</v>
      </c>
      <c r="I21" s="11">
        <f>LTBL_27203[[#Totals],[法人以外の団体／事業所数]]/LTBL_27203[[#Totals],[総数／事業所数]]</f>
        <v>2.9973772948669914E-3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110</v>
      </c>
      <c r="C24" s="12">
        <v>1093</v>
      </c>
      <c r="D24" s="8">
        <v>13.65</v>
      </c>
      <c r="E24" s="12">
        <v>208</v>
      </c>
      <c r="F24" s="8">
        <v>5.74</v>
      </c>
      <c r="G24" s="12">
        <v>885</v>
      </c>
      <c r="H24" s="8">
        <v>20.420000000000002</v>
      </c>
      <c r="I24" s="12">
        <v>0</v>
      </c>
    </row>
    <row r="25" spans="2:9" ht="15" customHeight="1" x14ac:dyDescent="0.2">
      <c r="B25" t="s">
        <v>113</v>
      </c>
      <c r="C25" s="12">
        <v>879</v>
      </c>
      <c r="D25" s="8">
        <v>10.98</v>
      </c>
      <c r="E25" s="12">
        <v>788</v>
      </c>
      <c r="F25" s="8">
        <v>21.74</v>
      </c>
      <c r="G25" s="12">
        <v>91</v>
      </c>
      <c r="H25" s="8">
        <v>2.1</v>
      </c>
      <c r="I25" s="12">
        <v>0</v>
      </c>
    </row>
    <row r="26" spans="2:9" ht="15" customHeight="1" x14ac:dyDescent="0.2">
      <c r="B26" t="s">
        <v>114</v>
      </c>
      <c r="C26" s="12">
        <v>713</v>
      </c>
      <c r="D26" s="8">
        <v>8.9</v>
      </c>
      <c r="E26" s="12">
        <v>587</v>
      </c>
      <c r="F26" s="8">
        <v>16.190000000000001</v>
      </c>
      <c r="G26" s="12">
        <v>126</v>
      </c>
      <c r="H26" s="8">
        <v>2.91</v>
      </c>
      <c r="I26" s="12">
        <v>0</v>
      </c>
    </row>
    <row r="27" spans="2:9" ht="15" customHeight="1" x14ac:dyDescent="0.2">
      <c r="B27" t="s">
        <v>108</v>
      </c>
      <c r="C27" s="12">
        <v>375</v>
      </c>
      <c r="D27" s="8">
        <v>4.68</v>
      </c>
      <c r="E27" s="12">
        <v>218</v>
      </c>
      <c r="F27" s="8">
        <v>6.01</v>
      </c>
      <c r="G27" s="12">
        <v>157</v>
      </c>
      <c r="H27" s="8">
        <v>3.62</v>
      </c>
      <c r="I27" s="12">
        <v>0</v>
      </c>
    </row>
    <row r="28" spans="2:9" ht="15" customHeight="1" x14ac:dyDescent="0.2">
      <c r="B28" t="s">
        <v>116</v>
      </c>
      <c r="C28" s="12">
        <v>358</v>
      </c>
      <c r="D28" s="8">
        <v>4.47</v>
      </c>
      <c r="E28" s="12">
        <v>309</v>
      </c>
      <c r="F28" s="8">
        <v>8.52</v>
      </c>
      <c r="G28" s="12">
        <v>49</v>
      </c>
      <c r="H28" s="8">
        <v>1.1299999999999999</v>
      </c>
      <c r="I28" s="12">
        <v>0</v>
      </c>
    </row>
    <row r="29" spans="2:9" ht="15" customHeight="1" x14ac:dyDescent="0.2">
      <c r="B29" t="s">
        <v>115</v>
      </c>
      <c r="C29" s="12">
        <v>344</v>
      </c>
      <c r="D29" s="8">
        <v>4.3</v>
      </c>
      <c r="E29" s="12">
        <v>216</v>
      </c>
      <c r="F29" s="8">
        <v>5.96</v>
      </c>
      <c r="G29" s="12">
        <v>124</v>
      </c>
      <c r="H29" s="8">
        <v>2.86</v>
      </c>
      <c r="I29" s="12">
        <v>3</v>
      </c>
    </row>
    <row r="30" spans="2:9" ht="15" customHeight="1" x14ac:dyDescent="0.2">
      <c r="B30" t="s">
        <v>106</v>
      </c>
      <c r="C30" s="12">
        <v>287</v>
      </c>
      <c r="D30" s="8">
        <v>3.58</v>
      </c>
      <c r="E30" s="12">
        <v>192</v>
      </c>
      <c r="F30" s="8">
        <v>5.3</v>
      </c>
      <c r="G30" s="12">
        <v>95</v>
      </c>
      <c r="H30" s="8">
        <v>2.19</v>
      </c>
      <c r="I30" s="12">
        <v>0</v>
      </c>
    </row>
    <row r="31" spans="2:9" ht="15" customHeight="1" x14ac:dyDescent="0.2">
      <c r="B31" t="s">
        <v>98</v>
      </c>
      <c r="C31" s="12">
        <v>286</v>
      </c>
      <c r="D31" s="8">
        <v>3.57</v>
      </c>
      <c r="E31" s="12">
        <v>39</v>
      </c>
      <c r="F31" s="8">
        <v>1.08</v>
      </c>
      <c r="G31" s="12">
        <v>247</v>
      </c>
      <c r="H31" s="8">
        <v>5.7</v>
      </c>
      <c r="I31" s="12">
        <v>0</v>
      </c>
    </row>
    <row r="32" spans="2:9" ht="15" customHeight="1" x14ac:dyDescent="0.2">
      <c r="B32" t="s">
        <v>99</v>
      </c>
      <c r="C32" s="12">
        <v>270</v>
      </c>
      <c r="D32" s="8">
        <v>3.37</v>
      </c>
      <c r="E32" s="12">
        <v>64</v>
      </c>
      <c r="F32" s="8">
        <v>1.77</v>
      </c>
      <c r="G32" s="12">
        <v>206</v>
      </c>
      <c r="H32" s="8">
        <v>4.75</v>
      </c>
      <c r="I32" s="12">
        <v>0</v>
      </c>
    </row>
    <row r="33" spans="2:9" ht="15" customHeight="1" x14ac:dyDescent="0.2">
      <c r="B33" t="s">
        <v>111</v>
      </c>
      <c r="C33" s="12">
        <v>270</v>
      </c>
      <c r="D33" s="8">
        <v>3.37</v>
      </c>
      <c r="E33" s="12">
        <v>122</v>
      </c>
      <c r="F33" s="8">
        <v>3.37</v>
      </c>
      <c r="G33" s="12">
        <v>148</v>
      </c>
      <c r="H33" s="8">
        <v>3.42</v>
      </c>
      <c r="I33" s="12">
        <v>0</v>
      </c>
    </row>
    <row r="34" spans="2:9" ht="15" customHeight="1" x14ac:dyDescent="0.2">
      <c r="B34" t="s">
        <v>100</v>
      </c>
      <c r="C34" s="12">
        <v>237</v>
      </c>
      <c r="D34" s="8">
        <v>2.96</v>
      </c>
      <c r="E34" s="12">
        <v>54</v>
      </c>
      <c r="F34" s="8">
        <v>1.49</v>
      </c>
      <c r="G34" s="12">
        <v>183</v>
      </c>
      <c r="H34" s="8">
        <v>4.22</v>
      </c>
      <c r="I34" s="12">
        <v>0</v>
      </c>
    </row>
    <row r="35" spans="2:9" ht="15" customHeight="1" x14ac:dyDescent="0.2">
      <c r="B35" t="s">
        <v>101</v>
      </c>
      <c r="C35" s="12">
        <v>215</v>
      </c>
      <c r="D35" s="8">
        <v>2.69</v>
      </c>
      <c r="E35" s="12">
        <v>70</v>
      </c>
      <c r="F35" s="8">
        <v>1.93</v>
      </c>
      <c r="G35" s="12">
        <v>145</v>
      </c>
      <c r="H35" s="8">
        <v>3.35</v>
      </c>
      <c r="I35" s="12">
        <v>0</v>
      </c>
    </row>
    <row r="36" spans="2:9" ht="15" customHeight="1" x14ac:dyDescent="0.2">
      <c r="B36" t="s">
        <v>107</v>
      </c>
      <c r="C36" s="12">
        <v>176</v>
      </c>
      <c r="D36" s="8">
        <v>2.2000000000000002</v>
      </c>
      <c r="E36" s="12">
        <v>95</v>
      </c>
      <c r="F36" s="8">
        <v>2.62</v>
      </c>
      <c r="G36" s="12">
        <v>81</v>
      </c>
      <c r="H36" s="8">
        <v>1.87</v>
      </c>
      <c r="I36" s="12">
        <v>0</v>
      </c>
    </row>
    <row r="37" spans="2:9" ht="15" customHeight="1" x14ac:dyDescent="0.2">
      <c r="B37" t="s">
        <v>105</v>
      </c>
      <c r="C37" s="12">
        <v>162</v>
      </c>
      <c r="D37" s="8">
        <v>2.02</v>
      </c>
      <c r="E37" s="12">
        <v>88</v>
      </c>
      <c r="F37" s="8">
        <v>2.4300000000000002</v>
      </c>
      <c r="G37" s="12">
        <v>74</v>
      </c>
      <c r="H37" s="8">
        <v>1.71</v>
      </c>
      <c r="I37" s="12">
        <v>0</v>
      </c>
    </row>
    <row r="38" spans="2:9" ht="15" customHeight="1" x14ac:dyDescent="0.2">
      <c r="B38" t="s">
        <v>109</v>
      </c>
      <c r="C38" s="12">
        <v>161</v>
      </c>
      <c r="D38" s="8">
        <v>2.0099999999999998</v>
      </c>
      <c r="E38" s="12">
        <v>24</v>
      </c>
      <c r="F38" s="8">
        <v>0.66</v>
      </c>
      <c r="G38" s="12">
        <v>137</v>
      </c>
      <c r="H38" s="8">
        <v>3.16</v>
      </c>
      <c r="I38" s="12">
        <v>0</v>
      </c>
    </row>
    <row r="39" spans="2:9" ht="15" customHeight="1" x14ac:dyDescent="0.2">
      <c r="B39" t="s">
        <v>127</v>
      </c>
      <c r="C39" s="12">
        <v>156</v>
      </c>
      <c r="D39" s="8">
        <v>1.95</v>
      </c>
      <c r="E39" s="12">
        <v>40</v>
      </c>
      <c r="F39" s="8">
        <v>1.1000000000000001</v>
      </c>
      <c r="G39" s="12">
        <v>116</v>
      </c>
      <c r="H39" s="8">
        <v>2.68</v>
      </c>
      <c r="I39" s="12">
        <v>0</v>
      </c>
    </row>
    <row r="40" spans="2:9" ht="15" customHeight="1" x14ac:dyDescent="0.2">
      <c r="B40" t="s">
        <v>117</v>
      </c>
      <c r="C40" s="12">
        <v>149</v>
      </c>
      <c r="D40" s="8">
        <v>1.86</v>
      </c>
      <c r="E40" s="12">
        <v>1</v>
      </c>
      <c r="F40" s="8">
        <v>0.03</v>
      </c>
      <c r="G40" s="12">
        <v>127</v>
      </c>
      <c r="H40" s="8">
        <v>2.93</v>
      </c>
      <c r="I40" s="12">
        <v>0</v>
      </c>
    </row>
    <row r="41" spans="2:9" ht="15" customHeight="1" x14ac:dyDescent="0.2">
      <c r="B41" t="s">
        <v>112</v>
      </c>
      <c r="C41" s="12">
        <v>136</v>
      </c>
      <c r="D41" s="8">
        <v>1.7</v>
      </c>
      <c r="E41" s="12">
        <v>54</v>
      </c>
      <c r="F41" s="8">
        <v>1.49</v>
      </c>
      <c r="G41" s="12">
        <v>81</v>
      </c>
      <c r="H41" s="8">
        <v>1.87</v>
      </c>
      <c r="I41" s="12">
        <v>1</v>
      </c>
    </row>
    <row r="42" spans="2:9" ht="15" customHeight="1" x14ac:dyDescent="0.2">
      <c r="B42" t="s">
        <v>104</v>
      </c>
      <c r="C42" s="12">
        <v>117</v>
      </c>
      <c r="D42" s="8">
        <v>1.46</v>
      </c>
      <c r="E42" s="12">
        <v>19</v>
      </c>
      <c r="F42" s="8">
        <v>0.52</v>
      </c>
      <c r="G42" s="12">
        <v>98</v>
      </c>
      <c r="H42" s="8">
        <v>2.2599999999999998</v>
      </c>
      <c r="I42" s="12">
        <v>0</v>
      </c>
    </row>
    <row r="43" spans="2:9" ht="15" customHeight="1" x14ac:dyDescent="0.2">
      <c r="B43" t="s">
        <v>103</v>
      </c>
      <c r="C43" s="12">
        <v>116</v>
      </c>
      <c r="D43" s="8">
        <v>1.45</v>
      </c>
      <c r="E43" s="12">
        <v>7</v>
      </c>
      <c r="F43" s="8">
        <v>0.19</v>
      </c>
      <c r="G43" s="12">
        <v>109</v>
      </c>
      <c r="H43" s="8">
        <v>2.52</v>
      </c>
      <c r="I43" s="12">
        <v>0</v>
      </c>
    </row>
    <row r="46" spans="2:9" ht="33" customHeight="1" x14ac:dyDescent="0.2">
      <c r="B46" t="s">
        <v>273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160</v>
      </c>
      <c r="C47" s="12">
        <v>594</v>
      </c>
      <c r="D47" s="8">
        <v>7.42</v>
      </c>
      <c r="E47" s="12">
        <v>136</v>
      </c>
      <c r="F47" s="8">
        <v>3.75</v>
      </c>
      <c r="G47" s="12">
        <v>458</v>
      </c>
      <c r="H47" s="8">
        <v>10.57</v>
      </c>
      <c r="I47" s="12">
        <v>0</v>
      </c>
    </row>
    <row r="48" spans="2:9" ht="15" customHeight="1" x14ac:dyDescent="0.2">
      <c r="B48" t="s">
        <v>169</v>
      </c>
      <c r="C48" s="12">
        <v>365</v>
      </c>
      <c r="D48" s="8">
        <v>4.5599999999999996</v>
      </c>
      <c r="E48" s="12">
        <v>322</v>
      </c>
      <c r="F48" s="8">
        <v>8.8800000000000008</v>
      </c>
      <c r="G48" s="12">
        <v>43</v>
      </c>
      <c r="H48" s="8">
        <v>0.99</v>
      </c>
      <c r="I48" s="12">
        <v>0</v>
      </c>
    </row>
    <row r="49" spans="2:9" ht="15" customHeight="1" x14ac:dyDescent="0.2">
      <c r="B49" t="s">
        <v>171</v>
      </c>
      <c r="C49" s="12">
        <v>271</v>
      </c>
      <c r="D49" s="8">
        <v>3.38</v>
      </c>
      <c r="E49" s="12">
        <v>236</v>
      </c>
      <c r="F49" s="8">
        <v>6.51</v>
      </c>
      <c r="G49" s="12">
        <v>35</v>
      </c>
      <c r="H49" s="8">
        <v>0.81</v>
      </c>
      <c r="I49" s="12">
        <v>0</v>
      </c>
    </row>
    <row r="50" spans="2:9" ht="15" customHeight="1" x14ac:dyDescent="0.2">
      <c r="B50" t="s">
        <v>165</v>
      </c>
      <c r="C50" s="12">
        <v>236</v>
      </c>
      <c r="D50" s="8">
        <v>2.95</v>
      </c>
      <c r="E50" s="12">
        <v>222</v>
      </c>
      <c r="F50" s="8">
        <v>6.12</v>
      </c>
      <c r="G50" s="12">
        <v>14</v>
      </c>
      <c r="H50" s="8">
        <v>0.32</v>
      </c>
      <c r="I50" s="12">
        <v>0</v>
      </c>
    </row>
    <row r="51" spans="2:9" ht="15" customHeight="1" x14ac:dyDescent="0.2">
      <c r="B51" t="s">
        <v>159</v>
      </c>
      <c r="C51" s="12">
        <v>222</v>
      </c>
      <c r="D51" s="8">
        <v>2.77</v>
      </c>
      <c r="E51" s="12">
        <v>12</v>
      </c>
      <c r="F51" s="8">
        <v>0.33</v>
      </c>
      <c r="G51" s="12">
        <v>210</v>
      </c>
      <c r="H51" s="8">
        <v>4.8499999999999996</v>
      </c>
      <c r="I51" s="12">
        <v>0</v>
      </c>
    </row>
    <row r="52" spans="2:9" ht="15" customHeight="1" x14ac:dyDescent="0.2">
      <c r="B52" t="s">
        <v>170</v>
      </c>
      <c r="C52" s="12">
        <v>216</v>
      </c>
      <c r="D52" s="8">
        <v>2.7</v>
      </c>
      <c r="E52" s="12">
        <v>162</v>
      </c>
      <c r="F52" s="8">
        <v>4.47</v>
      </c>
      <c r="G52" s="12">
        <v>53</v>
      </c>
      <c r="H52" s="8">
        <v>1.22</v>
      </c>
      <c r="I52" s="12">
        <v>1</v>
      </c>
    </row>
    <row r="53" spans="2:9" ht="15" customHeight="1" x14ac:dyDescent="0.2">
      <c r="B53" t="s">
        <v>162</v>
      </c>
      <c r="C53" s="12">
        <v>194</v>
      </c>
      <c r="D53" s="8">
        <v>2.42</v>
      </c>
      <c r="E53" s="12">
        <v>10</v>
      </c>
      <c r="F53" s="8">
        <v>0.28000000000000003</v>
      </c>
      <c r="G53" s="12">
        <v>184</v>
      </c>
      <c r="H53" s="8">
        <v>4.25</v>
      </c>
      <c r="I53" s="12">
        <v>0</v>
      </c>
    </row>
    <row r="54" spans="2:9" ht="15" customHeight="1" x14ac:dyDescent="0.2">
      <c r="B54" t="s">
        <v>167</v>
      </c>
      <c r="C54" s="12">
        <v>186</v>
      </c>
      <c r="D54" s="8">
        <v>2.3199999999999998</v>
      </c>
      <c r="E54" s="12">
        <v>174</v>
      </c>
      <c r="F54" s="8">
        <v>4.8</v>
      </c>
      <c r="G54" s="12">
        <v>12</v>
      </c>
      <c r="H54" s="8">
        <v>0.28000000000000003</v>
      </c>
      <c r="I54" s="12">
        <v>0</v>
      </c>
    </row>
    <row r="55" spans="2:9" ht="15" customHeight="1" x14ac:dyDescent="0.2">
      <c r="B55" t="s">
        <v>168</v>
      </c>
      <c r="C55" s="12">
        <v>186</v>
      </c>
      <c r="D55" s="8">
        <v>2.3199999999999998</v>
      </c>
      <c r="E55" s="12">
        <v>175</v>
      </c>
      <c r="F55" s="8">
        <v>4.83</v>
      </c>
      <c r="G55" s="12">
        <v>11</v>
      </c>
      <c r="H55" s="8">
        <v>0.25</v>
      </c>
      <c r="I55" s="12">
        <v>0</v>
      </c>
    </row>
    <row r="56" spans="2:9" ht="15" customHeight="1" x14ac:dyDescent="0.2">
      <c r="B56" t="s">
        <v>164</v>
      </c>
      <c r="C56" s="12">
        <v>175</v>
      </c>
      <c r="D56" s="8">
        <v>2.19</v>
      </c>
      <c r="E56" s="12">
        <v>149</v>
      </c>
      <c r="F56" s="8">
        <v>4.1100000000000003</v>
      </c>
      <c r="G56" s="12">
        <v>26</v>
      </c>
      <c r="H56" s="8">
        <v>0.6</v>
      </c>
      <c r="I56" s="12">
        <v>0</v>
      </c>
    </row>
    <row r="57" spans="2:9" ht="15" customHeight="1" x14ac:dyDescent="0.2">
      <c r="B57" t="s">
        <v>157</v>
      </c>
      <c r="C57" s="12">
        <v>144</v>
      </c>
      <c r="D57" s="8">
        <v>1.8</v>
      </c>
      <c r="E57" s="12">
        <v>100</v>
      </c>
      <c r="F57" s="8">
        <v>2.76</v>
      </c>
      <c r="G57" s="12">
        <v>44</v>
      </c>
      <c r="H57" s="8">
        <v>1.02</v>
      </c>
      <c r="I57" s="12">
        <v>0</v>
      </c>
    </row>
    <row r="58" spans="2:9" ht="15" customHeight="1" x14ac:dyDescent="0.2">
      <c r="B58" t="s">
        <v>158</v>
      </c>
      <c r="C58" s="12">
        <v>123</v>
      </c>
      <c r="D58" s="8">
        <v>1.54</v>
      </c>
      <c r="E58" s="12">
        <v>22</v>
      </c>
      <c r="F58" s="8">
        <v>0.61</v>
      </c>
      <c r="G58" s="12">
        <v>101</v>
      </c>
      <c r="H58" s="8">
        <v>2.33</v>
      </c>
      <c r="I58" s="12">
        <v>0</v>
      </c>
    </row>
    <row r="59" spans="2:9" ht="15" customHeight="1" x14ac:dyDescent="0.2">
      <c r="B59" t="s">
        <v>166</v>
      </c>
      <c r="C59" s="12">
        <v>123</v>
      </c>
      <c r="D59" s="8">
        <v>1.54</v>
      </c>
      <c r="E59" s="12">
        <v>119</v>
      </c>
      <c r="F59" s="8">
        <v>3.28</v>
      </c>
      <c r="G59" s="12">
        <v>4</v>
      </c>
      <c r="H59" s="8">
        <v>0.09</v>
      </c>
      <c r="I59" s="12">
        <v>0</v>
      </c>
    </row>
    <row r="60" spans="2:9" ht="15" customHeight="1" x14ac:dyDescent="0.2">
      <c r="B60" t="s">
        <v>174</v>
      </c>
      <c r="C60" s="12">
        <v>110</v>
      </c>
      <c r="D60" s="8">
        <v>1.37</v>
      </c>
      <c r="E60" s="12">
        <v>33</v>
      </c>
      <c r="F60" s="8">
        <v>0.91</v>
      </c>
      <c r="G60" s="12">
        <v>77</v>
      </c>
      <c r="H60" s="8">
        <v>1.78</v>
      </c>
      <c r="I60" s="12">
        <v>0</v>
      </c>
    </row>
    <row r="61" spans="2:9" ht="15" customHeight="1" x14ac:dyDescent="0.2">
      <c r="B61" t="s">
        <v>156</v>
      </c>
      <c r="C61" s="12">
        <v>101</v>
      </c>
      <c r="D61" s="8">
        <v>1.26</v>
      </c>
      <c r="E61" s="12">
        <v>68</v>
      </c>
      <c r="F61" s="8">
        <v>1.88</v>
      </c>
      <c r="G61" s="12">
        <v>33</v>
      </c>
      <c r="H61" s="8">
        <v>0.76</v>
      </c>
      <c r="I61" s="12">
        <v>0</v>
      </c>
    </row>
    <row r="62" spans="2:9" ht="15" customHeight="1" x14ac:dyDescent="0.2">
      <c r="B62" t="s">
        <v>199</v>
      </c>
      <c r="C62" s="12">
        <v>100</v>
      </c>
      <c r="D62" s="8">
        <v>1.25</v>
      </c>
      <c r="E62" s="12">
        <v>53</v>
      </c>
      <c r="F62" s="8">
        <v>1.46</v>
      </c>
      <c r="G62" s="12">
        <v>47</v>
      </c>
      <c r="H62" s="8">
        <v>1.08</v>
      </c>
      <c r="I62" s="12">
        <v>0</v>
      </c>
    </row>
    <row r="63" spans="2:9" ht="15" customHeight="1" x14ac:dyDescent="0.2">
      <c r="B63" t="s">
        <v>152</v>
      </c>
      <c r="C63" s="12">
        <v>93</v>
      </c>
      <c r="D63" s="8">
        <v>1.1599999999999999</v>
      </c>
      <c r="E63" s="12">
        <v>9</v>
      </c>
      <c r="F63" s="8">
        <v>0.25</v>
      </c>
      <c r="G63" s="12">
        <v>84</v>
      </c>
      <c r="H63" s="8">
        <v>1.94</v>
      </c>
      <c r="I63" s="12">
        <v>0</v>
      </c>
    </row>
    <row r="64" spans="2:9" ht="15" customHeight="1" x14ac:dyDescent="0.2">
      <c r="B64" t="s">
        <v>181</v>
      </c>
      <c r="C64" s="12">
        <v>93</v>
      </c>
      <c r="D64" s="8">
        <v>1.1599999999999999</v>
      </c>
      <c r="E64" s="12">
        <v>67</v>
      </c>
      <c r="F64" s="8">
        <v>1.85</v>
      </c>
      <c r="G64" s="12">
        <v>26</v>
      </c>
      <c r="H64" s="8">
        <v>0.6</v>
      </c>
      <c r="I64" s="12">
        <v>0</v>
      </c>
    </row>
    <row r="65" spans="2:9" ht="15" customHeight="1" x14ac:dyDescent="0.2">
      <c r="B65" t="s">
        <v>210</v>
      </c>
      <c r="C65" s="12">
        <v>92</v>
      </c>
      <c r="D65" s="8">
        <v>1.1499999999999999</v>
      </c>
      <c r="E65" s="12">
        <v>15</v>
      </c>
      <c r="F65" s="8">
        <v>0.41</v>
      </c>
      <c r="G65" s="12">
        <v>77</v>
      </c>
      <c r="H65" s="8">
        <v>1.78</v>
      </c>
      <c r="I65" s="12">
        <v>0</v>
      </c>
    </row>
    <row r="66" spans="2:9" ht="15" customHeight="1" x14ac:dyDescent="0.2">
      <c r="B66" t="s">
        <v>196</v>
      </c>
      <c r="C66" s="12">
        <v>90</v>
      </c>
      <c r="D66" s="8">
        <v>1.1200000000000001</v>
      </c>
      <c r="E66" s="12">
        <v>43</v>
      </c>
      <c r="F66" s="8">
        <v>1.19</v>
      </c>
      <c r="G66" s="12">
        <v>47</v>
      </c>
      <c r="H66" s="8">
        <v>1.08</v>
      </c>
      <c r="I66" s="12">
        <v>0</v>
      </c>
    </row>
    <row r="68" spans="2:9" ht="15" customHeight="1" x14ac:dyDescent="0.2">
      <c r="B68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7E65E-0BCA-4AB9-9571-D70D22067B59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310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236</v>
      </c>
      <c r="D6" s="8">
        <v>10.76</v>
      </c>
      <c r="E6" s="12">
        <v>42</v>
      </c>
      <c r="F6" s="8">
        <v>3.71</v>
      </c>
      <c r="G6" s="12">
        <v>194</v>
      </c>
      <c r="H6" s="8">
        <v>18.39</v>
      </c>
      <c r="I6" s="12">
        <v>0</v>
      </c>
    </row>
    <row r="7" spans="2:9" ht="15" customHeight="1" x14ac:dyDescent="0.2">
      <c r="B7" t="s">
        <v>77</v>
      </c>
      <c r="C7" s="12">
        <v>83</v>
      </c>
      <c r="D7" s="8">
        <v>3.78</v>
      </c>
      <c r="E7" s="12">
        <v>21</v>
      </c>
      <c r="F7" s="8">
        <v>1.86</v>
      </c>
      <c r="G7" s="12">
        <v>62</v>
      </c>
      <c r="H7" s="8">
        <v>5.88</v>
      </c>
      <c r="I7" s="12">
        <v>0</v>
      </c>
    </row>
    <row r="8" spans="2:9" ht="15" customHeight="1" x14ac:dyDescent="0.2">
      <c r="B8" t="s">
        <v>78</v>
      </c>
      <c r="C8" s="12">
        <v>4</v>
      </c>
      <c r="D8" s="8">
        <v>0.18</v>
      </c>
      <c r="E8" s="12">
        <v>0</v>
      </c>
      <c r="F8" s="8">
        <v>0</v>
      </c>
      <c r="G8" s="12">
        <v>4</v>
      </c>
      <c r="H8" s="8">
        <v>0.38</v>
      </c>
      <c r="I8" s="12">
        <v>0</v>
      </c>
    </row>
    <row r="9" spans="2:9" ht="15" customHeight="1" x14ac:dyDescent="0.2">
      <c r="B9" t="s">
        <v>79</v>
      </c>
      <c r="C9" s="12">
        <v>23</v>
      </c>
      <c r="D9" s="8">
        <v>1.05</v>
      </c>
      <c r="E9" s="12">
        <v>3</v>
      </c>
      <c r="F9" s="8">
        <v>0.27</v>
      </c>
      <c r="G9" s="12">
        <v>20</v>
      </c>
      <c r="H9" s="8">
        <v>1.9</v>
      </c>
      <c r="I9" s="12">
        <v>0</v>
      </c>
    </row>
    <row r="10" spans="2:9" ht="15" customHeight="1" x14ac:dyDescent="0.2">
      <c r="B10" t="s">
        <v>80</v>
      </c>
      <c r="C10" s="12">
        <v>23</v>
      </c>
      <c r="D10" s="8">
        <v>1.05</v>
      </c>
      <c r="E10" s="12">
        <v>5</v>
      </c>
      <c r="F10" s="8">
        <v>0.44</v>
      </c>
      <c r="G10" s="12">
        <v>17</v>
      </c>
      <c r="H10" s="8">
        <v>1.61</v>
      </c>
      <c r="I10" s="12">
        <v>1</v>
      </c>
    </row>
    <row r="11" spans="2:9" ht="15" customHeight="1" x14ac:dyDescent="0.2">
      <c r="B11" t="s">
        <v>81</v>
      </c>
      <c r="C11" s="12">
        <v>443</v>
      </c>
      <c r="D11" s="8">
        <v>20.2</v>
      </c>
      <c r="E11" s="12">
        <v>235</v>
      </c>
      <c r="F11" s="8">
        <v>20.78</v>
      </c>
      <c r="G11" s="12">
        <v>207</v>
      </c>
      <c r="H11" s="8">
        <v>19.62</v>
      </c>
      <c r="I11" s="12">
        <v>1</v>
      </c>
    </row>
    <row r="12" spans="2:9" ht="15" customHeight="1" x14ac:dyDescent="0.2">
      <c r="B12" t="s">
        <v>82</v>
      </c>
      <c r="C12" s="12">
        <v>11</v>
      </c>
      <c r="D12" s="8">
        <v>0.5</v>
      </c>
      <c r="E12" s="12">
        <v>2</v>
      </c>
      <c r="F12" s="8">
        <v>0.18</v>
      </c>
      <c r="G12" s="12">
        <v>9</v>
      </c>
      <c r="H12" s="8">
        <v>0.85</v>
      </c>
      <c r="I12" s="12">
        <v>0</v>
      </c>
    </row>
    <row r="13" spans="2:9" ht="15" customHeight="1" x14ac:dyDescent="0.2">
      <c r="B13" t="s">
        <v>83</v>
      </c>
      <c r="C13" s="12">
        <v>365</v>
      </c>
      <c r="D13" s="8">
        <v>16.64</v>
      </c>
      <c r="E13" s="12">
        <v>111</v>
      </c>
      <c r="F13" s="8">
        <v>9.81</v>
      </c>
      <c r="G13" s="12">
        <v>254</v>
      </c>
      <c r="H13" s="8">
        <v>24.08</v>
      </c>
      <c r="I13" s="12">
        <v>0</v>
      </c>
    </row>
    <row r="14" spans="2:9" ht="15" customHeight="1" x14ac:dyDescent="0.2">
      <c r="B14" t="s">
        <v>84</v>
      </c>
      <c r="C14" s="12">
        <v>123</v>
      </c>
      <c r="D14" s="8">
        <v>5.61</v>
      </c>
      <c r="E14" s="12">
        <v>56</v>
      </c>
      <c r="F14" s="8">
        <v>4.95</v>
      </c>
      <c r="G14" s="12">
        <v>67</v>
      </c>
      <c r="H14" s="8">
        <v>6.35</v>
      </c>
      <c r="I14" s="12">
        <v>0</v>
      </c>
    </row>
    <row r="15" spans="2:9" ht="15" customHeight="1" x14ac:dyDescent="0.2">
      <c r="B15" t="s">
        <v>85</v>
      </c>
      <c r="C15" s="12">
        <v>341</v>
      </c>
      <c r="D15" s="8">
        <v>15.55</v>
      </c>
      <c r="E15" s="12">
        <v>287</v>
      </c>
      <c r="F15" s="8">
        <v>25.38</v>
      </c>
      <c r="G15" s="12">
        <v>54</v>
      </c>
      <c r="H15" s="8">
        <v>5.12</v>
      </c>
      <c r="I15" s="12">
        <v>0</v>
      </c>
    </row>
    <row r="16" spans="2:9" ht="15" customHeight="1" x14ac:dyDescent="0.2">
      <c r="B16" t="s">
        <v>86</v>
      </c>
      <c r="C16" s="12">
        <v>244</v>
      </c>
      <c r="D16" s="8">
        <v>11.13</v>
      </c>
      <c r="E16" s="12">
        <v>189</v>
      </c>
      <c r="F16" s="8">
        <v>16.71</v>
      </c>
      <c r="G16" s="12">
        <v>55</v>
      </c>
      <c r="H16" s="8">
        <v>5.21</v>
      </c>
      <c r="I16" s="12">
        <v>0</v>
      </c>
    </row>
    <row r="17" spans="2:9" ht="15" customHeight="1" x14ac:dyDescent="0.2">
      <c r="B17" t="s">
        <v>87</v>
      </c>
      <c r="C17" s="12">
        <v>92</v>
      </c>
      <c r="D17" s="8">
        <v>4.2</v>
      </c>
      <c r="E17" s="12">
        <v>66</v>
      </c>
      <c r="F17" s="8">
        <v>5.84</v>
      </c>
      <c r="G17" s="12">
        <v>26</v>
      </c>
      <c r="H17" s="8">
        <v>2.46</v>
      </c>
      <c r="I17" s="12">
        <v>0</v>
      </c>
    </row>
    <row r="18" spans="2:9" ht="15" customHeight="1" x14ac:dyDescent="0.2">
      <c r="B18" t="s">
        <v>88</v>
      </c>
      <c r="C18" s="12">
        <v>137</v>
      </c>
      <c r="D18" s="8">
        <v>6.25</v>
      </c>
      <c r="E18" s="12">
        <v>90</v>
      </c>
      <c r="F18" s="8">
        <v>7.96</v>
      </c>
      <c r="G18" s="12">
        <v>46</v>
      </c>
      <c r="H18" s="8">
        <v>4.3600000000000003</v>
      </c>
      <c r="I18" s="12">
        <v>0</v>
      </c>
    </row>
    <row r="19" spans="2:9" ht="15" customHeight="1" x14ac:dyDescent="0.2">
      <c r="B19" t="s">
        <v>89</v>
      </c>
      <c r="C19" s="12">
        <v>68</v>
      </c>
      <c r="D19" s="8">
        <v>3.1</v>
      </c>
      <c r="E19" s="12">
        <v>24</v>
      </c>
      <c r="F19" s="8">
        <v>2.12</v>
      </c>
      <c r="G19" s="12">
        <v>40</v>
      </c>
      <c r="H19" s="8">
        <v>3.79</v>
      </c>
      <c r="I19" s="12">
        <v>2</v>
      </c>
    </row>
    <row r="20" spans="2:9" ht="15" customHeight="1" x14ac:dyDescent="0.2">
      <c r="B20" s="9" t="s">
        <v>271</v>
      </c>
      <c r="C20" s="12">
        <f>SUM(LTBL_27204[総数／事業所数])</f>
        <v>2193</v>
      </c>
      <c r="E20" s="12">
        <f>SUBTOTAL(109,LTBL_27204[個人／事業所数])</f>
        <v>1131</v>
      </c>
      <c r="G20" s="12">
        <f>SUBTOTAL(109,LTBL_27204[法人／事業所数])</f>
        <v>1055</v>
      </c>
      <c r="I20" s="12">
        <f>SUBTOTAL(109,LTBL_27204[法人以外の団体／事業所数])</f>
        <v>4</v>
      </c>
    </row>
    <row r="21" spans="2:9" ht="15" customHeight="1" x14ac:dyDescent="0.2">
      <c r="E21" s="11">
        <f>LTBL_27204[[#Totals],[個人／事業所数]]/LTBL_27204[[#Totals],[総数／事業所数]]</f>
        <v>0.51573187414500687</v>
      </c>
      <c r="G21" s="11">
        <f>LTBL_27204[[#Totals],[法人／事業所数]]/LTBL_27204[[#Totals],[総数／事業所数]]</f>
        <v>0.48107615139078885</v>
      </c>
      <c r="I21" s="11">
        <f>LTBL_27204[[#Totals],[法人以外の団体／事業所数]]/LTBL_27204[[#Totals],[総数／事業所数]]</f>
        <v>1.823985408116735E-3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113</v>
      </c>
      <c r="C24" s="12">
        <v>313</v>
      </c>
      <c r="D24" s="8">
        <v>14.27</v>
      </c>
      <c r="E24" s="12">
        <v>279</v>
      </c>
      <c r="F24" s="8">
        <v>24.67</v>
      </c>
      <c r="G24" s="12">
        <v>34</v>
      </c>
      <c r="H24" s="8">
        <v>3.22</v>
      </c>
      <c r="I24" s="12">
        <v>0</v>
      </c>
    </row>
    <row r="25" spans="2:9" ht="15" customHeight="1" x14ac:dyDescent="0.2">
      <c r="B25" t="s">
        <v>110</v>
      </c>
      <c r="C25" s="12">
        <v>301</v>
      </c>
      <c r="D25" s="8">
        <v>13.73</v>
      </c>
      <c r="E25" s="12">
        <v>103</v>
      </c>
      <c r="F25" s="8">
        <v>9.11</v>
      </c>
      <c r="G25" s="12">
        <v>198</v>
      </c>
      <c r="H25" s="8">
        <v>18.77</v>
      </c>
      <c r="I25" s="12">
        <v>0</v>
      </c>
    </row>
    <row r="26" spans="2:9" ht="15" customHeight="1" x14ac:dyDescent="0.2">
      <c r="B26" t="s">
        <v>114</v>
      </c>
      <c r="C26" s="12">
        <v>205</v>
      </c>
      <c r="D26" s="8">
        <v>9.35</v>
      </c>
      <c r="E26" s="12">
        <v>171</v>
      </c>
      <c r="F26" s="8">
        <v>15.12</v>
      </c>
      <c r="G26" s="12">
        <v>34</v>
      </c>
      <c r="H26" s="8">
        <v>3.22</v>
      </c>
      <c r="I26" s="12">
        <v>0</v>
      </c>
    </row>
    <row r="27" spans="2:9" ht="15" customHeight="1" x14ac:dyDescent="0.2">
      <c r="B27" t="s">
        <v>108</v>
      </c>
      <c r="C27" s="12">
        <v>124</v>
      </c>
      <c r="D27" s="8">
        <v>5.65</v>
      </c>
      <c r="E27" s="12">
        <v>90</v>
      </c>
      <c r="F27" s="8">
        <v>7.96</v>
      </c>
      <c r="G27" s="12">
        <v>33</v>
      </c>
      <c r="H27" s="8">
        <v>3.13</v>
      </c>
      <c r="I27" s="12">
        <v>1</v>
      </c>
    </row>
    <row r="28" spans="2:9" ht="15" customHeight="1" x14ac:dyDescent="0.2">
      <c r="B28" t="s">
        <v>98</v>
      </c>
      <c r="C28" s="12">
        <v>115</v>
      </c>
      <c r="D28" s="8">
        <v>5.24</v>
      </c>
      <c r="E28" s="12">
        <v>20</v>
      </c>
      <c r="F28" s="8">
        <v>1.77</v>
      </c>
      <c r="G28" s="12">
        <v>95</v>
      </c>
      <c r="H28" s="8">
        <v>9</v>
      </c>
      <c r="I28" s="12">
        <v>0</v>
      </c>
    </row>
    <row r="29" spans="2:9" ht="15" customHeight="1" x14ac:dyDescent="0.2">
      <c r="B29" t="s">
        <v>116</v>
      </c>
      <c r="C29" s="12">
        <v>104</v>
      </c>
      <c r="D29" s="8">
        <v>4.74</v>
      </c>
      <c r="E29" s="12">
        <v>90</v>
      </c>
      <c r="F29" s="8">
        <v>7.96</v>
      </c>
      <c r="G29" s="12">
        <v>14</v>
      </c>
      <c r="H29" s="8">
        <v>1.33</v>
      </c>
      <c r="I29" s="12">
        <v>0</v>
      </c>
    </row>
    <row r="30" spans="2:9" ht="15" customHeight="1" x14ac:dyDescent="0.2">
      <c r="B30" t="s">
        <v>115</v>
      </c>
      <c r="C30" s="12">
        <v>92</v>
      </c>
      <c r="D30" s="8">
        <v>4.2</v>
      </c>
      <c r="E30" s="12">
        <v>66</v>
      </c>
      <c r="F30" s="8">
        <v>5.84</v>
      </c>
      <c r="G30" s="12">
        <v>26</v>
      </c>
      <c r="H30" s="8">
        <v>2.46</v>
      </c>
      <c r="I30" s="12">
        <v>0</v>
      </c>
    </row>
    <row r="31" spans="2:9" ht="15" customHeight="1" x14ac:dyDescent="0.2">
      <c r="B31" t="s">
        <v>106</v>
      </c>
      <c r="C31" s="12">
        <v>75</v>
      </c>
      <c r="D31" s="8">
        <v>3.42</v>
      </c>
      <c r="E31" s="12">
        <v>50</v>
      </c>
      <c r="F31" s="8">
        <v>4.42</v>
      </c>
      <c r="G31" s="12">
        <v>25</v>
      </c>
      <c r="H31" s="8">
        <v>2.37</v>
      </c>
      <c r="I31" s="12">
        <v>0</v>
      </c>
    </row>
    <row r="32" spans="2:9" ht="15" customHeight="1" x14ac:dyDescent="0.2">
      <c r="B32" t="s">
        <v>111</v>
      </c>
      <c r="C32" s="12">
        <v>75</v>
      </c>
      <c r="D32" s="8">
        <v>3.42</v>
      </c>
      <c r="E32" s="12">
        <v>40</v>
      </c>
      <c r="F32" s="8">
        <v>3.54</v>
      </c>
      <c r="G32" s="12">
        <v>35</v>
      </c>
      <c r="H32" s="8">
        <v>3.32</v>
      </c>
      <c r="I32" s="12">
        <v>0</v>
      </c>
    </row>
    <row r="33" spans="2:9" ht="15" customHeight="1" x14ac:dyDescent="0.2">
      <c r="B33" t="s">
        <v>100</v>
      </c>
      <c r="C33" s="12">
        <v>73</v>
      </c>
      <c r="D33" s="8">
        <v>3.33</v>
      </c>
      <c r="E33" s="12">
        <v>10</v>
      </c>
      <c r="F33" s="8">
        <v>0.88</v>
      </c>
      <c r="G33" s="12">
        <v>63</v>
      </c>
      <c r="H33" s="8">
        <v>5.97</v>
      </c>
      <c r="I33" s="12">
        <v>0</v>
      </c>
    </row>
    <row r="34" spans="2:9" ht="15" customHeight="1" x14ac:dyDescent="0.2">
      <c r="B34" t="s">
        <v>109</v>
      </c>
      <c r="C34" s="12">
        <v>57</v>
      </c>
      <c r="D34" s="8">
        <v>2.6</v>
      </c>
      <c r="E34" s="12">
        <v>8</v>
      </c>
      <c r="F34" s="8">
        <v>0.71</v>
      </c>
      <c r="G34" s="12">
        <v>49</v>
      </c>
      <c r="H34" s="8">
        <v>4.6399999999999997</v>
      </c>
      <c r="I34" s="12">
        <v>0</v>
      </c>
    </row>
    <row r="35" spans="2:9" ht="15" customHeight="1" x14ac:dyDescent="0.2">
      <c r="B35" t="s">
        <v>107</v>
      </c>
      <c r="C35" s="12">
        <v>56</v>
      </c>
      <c r="D35" s="8">
        <v>2.5499999999999998</v>
      </c>
      <c r="E35" s="12">
        <v>29</v>
      </c>
      <c r="F35" s="8">
        <v>2.56</v>
      </c>
      <c r="G35" s="12">
        <v>27</v>
      </c>
      <c r="H35" s="8">
        <v>2.56</v>
      </c>
      <c r="I35" s="12">
        <v>0</v>
      </c>
    </row>
    <row r="36" spans="2:9" ht="15" customHeight="1" x14ac:dyDescent="0.2">
      <c r="B36" t="s">
        <v>99</v>
      </c>
      <c r="C36" s="12">
        <v>48</v>
      </c>
      <c r="D36" s="8">
        <v>2.19</v>
      </c>
      <c r="E36" s="12">
        <v>12</v>
      </c>
      <c r="F36" s="8">
        <v>1.06</v>
      </c>
      <c r="G36" s="12">
        <v>36</v>
      </c>
      <c r="H36" s="8">
        <v>3.41</v>
      </c>
      <c r="I36" s="12">
        <v>0</v>
      </c>
    </row>
    <row r="37" spans="2:9" ht="15" customHeight="1" x14ac:dyDescent="0.2">
      <c r="B37" t="s">
        <v>105</v>
      </c>
      <c r="C37" s="12">
        <v>47</v>
      </c>
      <c r="D37" s="8">
        <v>2.14</v>
      </c>
      <c r="E37" s="12">
        <v>37</v>
      </c>
      <c r="F37" s="8">
        <v>3.27</v>
      </c>
      <c r="G37" s="12">
        <v>10</v>
      </c>
      <c r="H37" s="8">
        <v>0.95</v>
      </c>
      <c r="I37" s="12">
        <v>0</v>
      </c>
    </row>
    <row r="38" spans="2:9" ht="15" customHeight="1" x14ac:dyDescent="0.2">
      <c r="B38" t="s">
        <v>112</v>
      </c>
      <c r="C38" s="12">
        <v>41</v>
      </c>
      <c r="D38" s="8">
        <v>1.87</v>
      </c>
      <c r="E38" s="12">
        <v>16</v>
      </c>
      <c r="F38" s="8">
        <v>1.41</v>
      </c>
      <c r="G38" s="12">
        <v>25</v>
      </c>
      <c r="H38" s="8">
        <v>2.37</v>
      </c>
      <c r="I38" s="12">
        <v>0</v>
      </c>
    </row>
    <row r="39" spans="2:9" ht="15" customHeight="1" x14ac:dyDescent="0.2">
      <c r="B39" t="s">
        <v>104</v>
      </c>
      <c r="C39" s="12">
        <v>39</v>
      </c>
      <c r="D39" s="8">
        <v>1.78</v>
      </c>
      <c r="E39" s="12">
        <v>11</v>
      </c>
      <c r="F39" s="8">
        <v>0.97</v>
      </c>
      <c r="G39" s="12">
        <v>28</v>
      </c>
      <c r="H39" s="8">
        <v>2.65</v>
      </c>
      <c r="I39" s="12">
        <v>0</v>
      </c>
    </row>
    <row r="40" spans="2:9" ht="15" customHeight="1" x14ac:dyDescent="0.2">
      <c r="B40" t="s">
        <v>103</v>
      </c>
      <c r="C40" s="12">
        <v>36</v>
      </c>
      <c r="D40" s="8">
        <v>1.64</v>
      </c>
      <c r="E40" s="12">
        <v>5</v>
      </c>
      <c r="F40" s="8">
        <v>0.44</v>
      </c>
      <c r="G40" s="12">
        <v>31</v>
      </c>
      <c r="H40" s="8">
        <v>2.94</v>
      </c>
      <c r="I40" s="12">
        <v>0</v>
      </c>
    </row>
    <row r="41" spans="2:9" ht="15" customHeight="1" x14ac:dyDescent="0.2">
      <c r="B41" t="s">
        <v>117</v>
      </c>
      <c r="C41" s="12">
        <v>33</v>
      </c>
      <c r="D41" s="8">
        <v>1.5</v>
      </c>
      <c r="E41" s="12">
        <v>0</v>
      </c>
      <c r="F41" s="8">
        <v>0</v>
      </c>
      <c r="G41" s="12">
        <v>32</v>
      </c>
      <c r="H41" s="8">
        <v>3.03</v>
      </c>
      <c r="I41" s="12">
        <v>0</v>
      </c>
    </row>
    <row r="42" spans="2:9" ht="15" customHeight="1" x14ac:dyDescent="0.2">
      <c r="B42" t="s">
        <v>130</v>
      </c>
      <c r="C42" s="12">
        <v>27</v>
      </c>
      <c r="D42" s="8">
        <v>1.23</v>
      </c>
      <c r="E42" s="12">
        <v>10</v>
      </c>
      <c r="F42" s="8">
        <v>0.88</v>
      </c>
      <c r="G42" s="12">
        <v>17</v>
      </c>
      <c r="H42" s="8">
        <v>1.61</v>
      </c>
      <c r="I42" s="12">
        <v>0</v>
      </c>
    </row>
    <row r="43" spans="2:9" ht="15" customHeight="1" x14ac:dyDescent="0.2">
      <c r="B43" t="s">
        <v>119</v>
      </c>
      <c r="C43" s="12">
        <v>27</v>
      </c>
      <c r="D43" s="8">
        <v>1.23</v>
      </c>
      <c r="E43" s="12">
        <v>5</v>
      </c>
      <c r="F43" s="8">
        <v>0.44</v>
      </c>
      <c r="G43" s="12">
        <v>21</v>
      </c>
      <c r="H43" s="8">
        <v>1.99</v>
      </c>
      <c r="I43" s="12">
        <v>1</v>
      </c>
    </row>
    <row r="46" spans="2:9" ht="33" customHeight="1" x14ac:dyDescent="0.2">
      <c r="B46" t="s">
        <v>273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160</v>
      </c>
      <c r="C47" s="12">
        <v>164</v>
      </c>
      <c r="D47" s="8">
        <v>7.48</v>
      </c>
      <c r="E47" s="12">
        <v>61</v>
      </c>
      <c r="F47" s="8">
        <v>5.39</v>
      </c>
      <c r="G47" s="12">
        <v>103</v>
      </c>
      <c r="H47" s="8">
        <v>9.76</v>
      </c>
      <c r="I47" s="12">
        <v>0</v>
      </c>
    </row>
    <row r="48" spans="2:9" ht="15" customHeight="1" x14ac:dyDescent="0.2">
      <c r="B48" t="s">
        <v>169</v>
      </c>
      <c r="C48" s="12">
        <v>108</v>
      </c>
      <c r="D48" s="8">
        <v>4.92</v>
      </c>
      <c r="E48" s="12">
        <v>91</v>
      </c>
      <c r="F48" s="8">
        <v>8.0500000000000007</v>
      </c>
      <c r="G48" s="12">
        <v>17</v>
      </c>
      <c r="H48" s="8">
        <v>1.61</v>
      </c>
      <c r="I48" s="12">
        <v>0</v>
      </c>
    </row>
    <row r="49" spans="2:9" ht="15" customHeight="1" x14ac:dyDescent="0.2">
      <c r="B49" t="s">
        <v>165</v>
      </c>
      <c r="C49" s="12">
        <v>83</v>
      </c>
      <c r="D49" s="8">
        <v>3.78</v>
      </c>
      <c r="E49" s="12">
        <v>73</v>
      </c>
      <c r="F49" s="8">
        <v>6.45</v>
      </c>
      <c r="G49" s="12">
        <v>10</v>
      </c>
      <c r="H49" s="8">
        <v>0.95</v>
      </c>
      <c r="I49" s="12">
        <v>0</v>
      </c>
    </row>
    <row r="50" spans="2:9" ht="15" customHeight="1" x14ac:dyDescent="0.2">
      <c r="B50" t="s">
        <v>171</v>
      </c>
      <c r="C50" s="12">
        <v>78</v>
      </c>
      <c r="D50" s="8">
        <v>3.56</v>
      </c>
      <c r="E50" s="12">
        <v>66</v>
      </c>
      <c r="F50" s="8">
        <v>5.84</v>
      </c>
      <c r="G50" s="12">
        <v>12</v>
      </c>
      <c r="H50" s="8">
        <v>1.1399999999999999</v>
      </c>
      <c r="I50" s="12">
        <v>0</v>
      </c>
    </row>
    <row r="51" spans="2:9" ht="15" customHeight="1" x14ac:dyDescent="0.2">
      <c r="B51" t="s">
        <v>164</v>
      </c>
      <c r="C51" s="12">
        <v>66</v>
      </c>
      <c r="D51" s="8">
        <v>3.01</v>
      </c>
      <c r="E51" s="12">
        <v>58</v>
      </c>
      <c r="F51" s="8">
        <v>5.13</v>
      </c>
      <c r="G51" s="12">
        <v>8</v>
      </c>
      <c r="H51" s="8">
        <v>0.76</v>
      </c>
      <c r="I51" s="12">
        <v>0</v>
      </c>
    </row>
    <row r="52" spans="2:9" ht="15" customHeight="1" x14ac:dyDescent="0.2">
      <c r="B52" t="s">
        <v>170</v>
      </c>
      <c r="C52" s="12">
        <v>61</v>
      </c>
      <c r="D52" s="8">
        <v>2.78</v>
      </c>
      <c r="E52" s="12">
        <v>47</v>
      </c>
      <c r="F52" s="8">
        <v>4.16</v>
      </c>
      <c r="G52" s="12">
        <v>14</v>
      </c>
      <c r="H52" s="8">
        <v>1.33</v>
      </c>
      <c r="I52" s="12">
        <v>0</v>
      </c>
    </row>
    <row r="53" spans="2:9" ht="15" customHeight="1" x14ac:dyDescent="0.2">
      <c r="B53" t="s">
        <v>159</v>
      </c>
      <c r="C53" s="12">
        <v>54</v>
      </c>
      <c r="D53" s="8">
        <v>2.46</v>
      </c>
      <c r="E53" s="12">
        <v>13</v>
      </c>
      <c r="F53" s="8">
        <v>1.1499999999999999</v>
      </c>
      <c r="G53" s="12">
        <v>41</v>
      </c>
      <c r="H53" s="8">
        <v>3.89</v>
      </c>
      <c r="I53" s="12">
        <v>0</v>
      </c>
    </row>
    <row r="54" spans="2:9" ht="15" customHeight="1" x14ac:dyDescent="0.2">
      <c r="B54" t="s">
        <v>167</v>
      </c>
      <c r="C54" s="12">
        <v>54</v>
      </c>
      <c r="D54" s="8">
        <v>2.46</v>
      </c>
      <c r="E54" s="12">
        <v>53</v>
      </c>
      <c r="F54" s="8">
        <v>4.6900000000000004</v>
      </c>
      <c r="G54" s="12">
        <v>1</v>
      </c>
      <c r="H54" s="8">
        <v>0.09</v>
      </c>
      <c r="I54" s="12">
        <v>0</v>
      </c>
    </row>
    <row r="55" spans="2:9" ht="15" customHeight="1" x14ac:dyDescent="0.2">
      <c r="B55" t="s">
        <v>190</v>
      </c>
      <c r="C55" s="12">
        <v>47</v>
      </c>
      <c r="D55" s="8">
        <v>2.14</v>
      </c>
      <c r="E55" s="12">
        <v>10</v>
      </c>
      <c r="F55" s="8">
        <v>0.88</v>
      </c>
      <c r="G55" s="12">
        <v>37</v>
      </c>
      <c r="H55" s="8">
        <v>3.51</v>
      </c>
      <c r="I55" s="12">
        <v>0</v>
      </c>
    </row>
    <row r="56" spans="2:9" ht="15" customHeight="1" x14ac:dyDescent="0.2">
      <c r="B56" t="s">
        <v>157</v>
      </c>
      <c r="C56" s="12">
        <v>47</v>
      </c>
      <c r="D56" s="8">
        <v>2.14</v>
      </c>
      <c r="E56" s="12">
        <v>38</v>
      </c>
      <c r="F56" s="8">
        <v>3.36</v>
      </c>
      <c r="G56" s="12">
        <v>8</v>
      </c>
      <c r="H56" s="8">
        <v>0.76</v>
      </c>
      <c r="I56" s="12">
        <v>1</v>
      </c>
    </row>
    <row r="57" spans="2:9" ht="15" customHeight="1" x14ac:dyDescent="0.2">
      <c r="B57" t="s">
        <v>162</v>
      </c>
      <c r="C57" s="12">
        <v>46</v>
      </c>
      <c r="D57" s="8">
        <v>2.1</v>
      </c>
      <c r="E57" s="12">
        <v>4</v>
      </c>
      <c r="F57" s="8">
        <v>0.35</v>
      </c>
      <c r="G57" s="12">
        <v>42</v>
      </c>
      <c r="H57" s="8">
        <v>3.98</v>
      </c>
      <c r="I57" s="12">
        <v>0</v>
      </c>
    </row>
    <row r="58" spans="2:9" ht="15" customHeight="1" x14ac:dyDescent="0.2">
      <c r="B58" t="s">
        <v>166</v>
      </c>
      <c r="C58" s="12">
        <v>44</v>
      </c>
      <c r="D58" s="8">
        <v>2.0099999999999998</v>
      </c>
      <c r="E58" s="12">
        <v>41</v>
      </c>
      <c r="F58" s="8">
        <v>3.63</v>
      </c>
      <c r="G58" s="12">
        <v>3</v>
      </c>
      <c r="H58" s="8">
        <v>0.28000000000000003</v>
      </c>
      <c r="I58" s="12">
        <v>0</v>
      </c>
    </row>
    <row r="59" spans="2:9" ht="15" customHeight="1" x14ac:dyDescent="0.2">
      <c r="B59" t="s">
        <v>158</v>
      </c>
      <c r="C59" s="12">
        <v>43</v>
      </c>
      <c r="D59" s="8">
        <v>1.96</v>
      </c>
      <c r="E59" s="12">
        <v>7</v>
      </c>
      <c r="F59" s="8">
        <v>0.62</v>
      </c>
      <c r="G59" s="12">
        <v>36</v>
      </c>
      <c r="H59" s="8">
        <v>3.41</v>
      </c>
      <c r="I59" s="12">
        <v>0</v>
      </c>
    </row>
    <row r="60" spans="2:9" ht="15" customHeight="1" x14ac:dyDescent="0.2">
      <c r="B60" t="s">
        <v>168</v>
      </c>
      <c r="C60" s="12">
        <v>40</v>
      </c>
      <c r="D60" s="8">
        <v>1.82</v>
      </c>
      <c r="E60" s="12">
        <v>38</v>
      </c>
      <c r="F60" s="8">
        <v>3.36</v>
      </c>
      <c r="G60" s="12">
        <v>2</v>
      </c>
      <c r="H60" s="8">
        <v>0.19</v>
      </c>
      <c r="I60" s="12">
        <v>0</v>
      </c>
    </row>
    <row r="61" spans="2:9" ht="15" customHeight="1" x14ac:dyDescent="0.2">
      <c r="B61" t="s">
        <v>153</v>
      </c>
      <c r="C61" s="12">
        <v>38</v>
      </c>
      <c r="D61" s="8">
        <v>1.73</v>
      </c>
      <c r="E61" s="12">
        <v>4</v>
      </c>
      <c r="F61" s="8">
        <v>0.35</v>
      </c>
      <c r="G61" s="12">
        <v>34</v>
      </c>
      <c r="H61" s="8">
        <v>3.22</v>
      </c>
      <c r="I61" s="12">
        <v>0</v>
      </c>
    </row>
    <row r="62" spans="2:9" ht="15" customHeight="1" x14ac:dyDescent="0.2">
      <c r="B62" t="s">
        <v>161</v>
      </c>
      <c r="C62" s="12">
        <v>36</v>
      </c>
      <c r="D62" s="8">
        <v>1.64</v>
      </c>
      <c r="E62" s="12">
        <v>25</v>
      </c>
      <c r="F62" s="8">
        <v>2.21</v>
      </c>
      <c r="G62" s="12">
        <v>11</v>
      </c>
      <c r="H62" s="8">
        <v>1.04</v>
      </c>
      <c r="I62" s="12">
        <v>0</v>
      </c>
    </row>
    <row r="63" spans="2:9" ht="15" customHeight="1" x14ac:dyDescent="0.2">
      <c r="B63" t="s">
        <v>215</v>
      </c>
      <c r="C63" s="12">
        <v>31</v>
      </c>
      <c r="D63" s="8">
        <v>1.41</v>
      </c>
      <c r="E63" s="12">
        <v>13</v>
      </c>
      <c r="F63" s="8">
        <v>1.1499999999999999</v>
      </c>
      <c r="G63" s="12">
        <v>18</v>
      </c>
      <c r="H63" s="8">
        <v>1.71</v>
      </c>
      <c r="I63" s="12">
        <v>0</v>
      </c>
    </row>
    <row r="64" spans="2:9" ht="15" customHeight="1" x14ac:dyDescent="0.2">
      <c r="B64" t="s">
        <v>196</v>
      </c>
      <c r="C64" s="12">
        <v>31</v>
      </c>
      <c r="D64" s="8">
        <v>1.41</v>
      </c>
      <c r="E64" s="12">
        <v>20</v>
      </c>
      <c r="F64" s="8">
        <v>1.77</v>
      </c>
      <c r="G64" s="12">
        <v>11</v>
      </c>
      <c r="H64" s="8">
        <v>1.04</v>
      </c>
      <c r="I64" s="12">
        <v>0</v>
      </c>
    </row>
    <row r="65" spans="2:9" ht="15" customHeight="1" x14ac:dyDescent="0.2">
      <c r="B65" t="s">
        <v>154</v>
      </c>
      <c r="C65" s="12">
        <v>29</v>
      </c>
      <c r="D65" s="8">
        <v>1.32</v>
      </c>
      <c r="E65" s="12">
        <v>8</v>
      </c>
      <c r="F65" s="8">
        <v>0.71</v>
      </c>
      <c r="G65" s="12">
        <v>21</v>
      </c>
      <c r="H65" s="8">
        <v>1.99</v>
      </c>
      <c r="I65" s="12">
        <v>0</v>
      </c>
    </row>
    <row r="66" spans="2:9" ht="15" customHeight="1" x14ac:dyDescent="0.2">
      <c r="B66" t="s">
        <v>210</v>
      </c>
      <c r="C66" s="12">
        <v>27</v>
      </c>
      <c r="D66" s="8">
        <v>1.23</v>
      </c>
      <c r="E66" s="12">
        <v>4</v>
      </c>
      <c r="F66" s="8">
        <v>0.35</v>
      </c>
      <c r="G66" s="12">
        <v>23</v>
      </c>
      <c r="H66" s="8">
        <v>2.1800000000000002</v>
      </c>
      <c r="I66" s="12">
        <v>0</v>
      </c>
    </row>
    <row r="67" spans="2:9" ht="15" customHeight="1" x14ac:dyDescent="0.2">
      <c r="B67" t="s">
        <v>174</v>
      </c>
      <c r="C67" s="12">
        <v>27</v>
      </c>
      <c r="D67" s="8">
        <v>1.23</v>
      </c>
      <c r="E67" s="12">
        <v>6</v>
      </c>
      <c r="F67" s="8">
        <v>0.53</v>
      </c>
      <c r="G67" s="12">
        <v>21</v>
      </c>
      <c r="H67" s="8">
        <v>1.99</v>
      </c>
      <c r="I67" s="12">
        <v>0</v>
      </c>
    </row>
    <row r="68" spans="2:9" ht="15" customHeight="1" x14ac:dyDescent="0.2">
      <c r="B68" t="s">
        <v>156</v>
      </c>
      <c r="C68" s="12">
        <v>27</v>
      </c>
      <c r="D68" s="8">
        <v>1.23</v>
      </c>
      <c r="E68" s="12">
        <v>15</v>
      </c>
      <c r="F68" s="8">
        <v>1.33</v>
      </c>
      <c r="G68" s="12">
        <v>12</v>
      </c>
      <c r="H68" s="8">
        <v>1.1399999999999999</v>
      </c>
      <c r="I68" s="12">
        <v>0</v>
      </c>
    </row>
    <row r="70" spans="2:9" ht="15" customHeight="1" x14ac:dyDescent="0.2">
      <c r="B70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80FA7-758B-4B7D-9007-098ED3AC4017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311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1</v>
      </c>
      <c r="D5" s="8">
        <v>0.02</v>
      </c>
      <c r="E5" s="12">
        <v>0</v>
      </c>
      <c r="F5" s="8">
        <v>0</v>
      </c>
      <c r="G5" s="12">
        <v>1</v>
      </c>
      <c r="H5" s="8">
        <v>0.03</v>
      </c>
      <c r="I5" s="12">
        <v>0</v>
      </c>
    </row>
    <row r="6" spans="2:9" ht="15" customHeight="1" x14ac:dyDescent="0.2">
      <c r="B6" t="s">
        <v>76</v>
      </c>
      <c r="C6" s="12">
        <v>616</v>
      </c>
      <c r="D6" s="8">
        <v>10.09</v>
      </c>
      <c r="E6" s="12">
        <v>69</v>
      </c>
      <c r="F6" s="8">
        <v>3.04</v>
      </c>
      <c r="G6" s="12">
        <v>547</v>
      </c>
      <c r="H6" s="8">
        <v>14.57</v>
      </c>
      <c r="I6" s="12">
        <v>0</v>
      </c>
    </row>
    <row r="7" spans="2:9" ht="15" customHeight="1" x14ac:dyDescent="0.2">
      <c r="B7" t="s">
        <v>77</v>
      </c>
      <c r="C7" s="12">
        <v>307</v>
      </c>
      <c r="D7" s="8">
        <v>5.03</v>
      </c>
      <c r="E7" s="12">
        <v>53</v>
      </c>
      <c r="F7" s="8">
        <v>2.33</v>
      </c>
      <c r="G7" s="12">
        <v>254</v>
      </c>
      <c r="H7" s="8">
        <v>6.76</v>
      </c>
      <c r="I7" s="12">
        <v>0</v>
      </c>
    </row>
    <row r="8" spans="2:9" ht="15" customHeight="1" x14ac:dyDescent="0.2">
      <c r="B8" t="s">
        <v>78</v>
      </c>
      <c r="C8" s="12">
        <v>6</v>
      </c>
      <c r="D8" s="8">
        <v>0.1</v>
      </c>
      <c r="E8" s="12">
        <v>0</v>
      </c>
      <c r="F8" s="8">
        <v>0</v>
      </c>
      <c r="G8" s="12">
        <v>4</v>
      </c>
      <c r="H8" s="8">
        <v>0.11</v>
      </c>
      <c r="I8" s="12">
        <v>0</v>
      </c>
    </row>
    <row r="9" spans="2:9" ht="15" customHeight="1" x14ac:dyDescent="0.2">
      <c r="B9" t="s">
        <v>79</v>
      </c>
      <c r="C9" s="12">
        <v>116</v>
      </c>
      <c r="D9" s="8">
        <v>1.9</v>
      </c>
      <c r="E9" s="12">
        <v>3</v>
      </c>
      <c r="F9" s="8">
        <v>0.13</v>
      </c>
      <c r="G9" s="12">
        <v>113</v>
      </c>
      <c r="H9" s="8">
        <v>3.01</v>
      </c>
      <c r="I9" s="12">
        <v>0</v>
      </c>
    </row>
    <row r="10" spans="2:9" ht="15" customHeight="1" x14ac:dyDescent="0.2">
      <c r="B10" t="s">
        <v>80</v>
      </c>
      <c r="C10" s="12">
        <v>49</v>
      </c>
      <c r="D10" s="8">
        <v>0.8</v>
      </c>
      <c r="E10" s="12">
        <v>20</v>
      </c>
      <c r="F10" s="8">
        <v>0.88</v>
      </c>
      <c r="G10" s="12">
        <v>29</v>
      </c>
      <c r="H10" s="8">
        <v>0.77</v>
      </c>
      <c r="I10" s="12">
        <v>0</v>
      </c>
    </row>
    <row r="11" spans="2:9" ht="15" customHeight="1" x14ac:dyDescent="0.2">
      <c r="B11" t="s">
        <v>81</v>
      </c>
      <c r="C11" s="12">
        <v>1325</v>
      </c>
      <c r="D11" s="8">
        <v>21.71</v>
      </c>
      <c r="E11" s="12">
        <v>454</v>
      </c>
      <c r="F11" s="8">
        <v>19.97</v>
      </c>
      <c r="G11" s="12">
        <v>871</v>
      </c>
      <c r="H11" s="8">
        <v>23.2</v>
      </c>
      <c r="I11" s="12">
        <v>0</v>
      </c>
    </row>
    <row r="12" spans="2:9" ht="15" customHeight="1" x14ac:dyDescent="0.2">
      <c r="B12" t="s">
        <v>82</v>
      </c>
      <c r="C12" s="12">
        <v>40</v>
      </c>
      <c r="D12" s="8">
        <v>0.66</v>
      </c>
      <c r="E12" s="12">
        <v>9</v>
      </c>
      <c r="F12" s="8">
        <v>0.4</v>
      </c>
      <c r="G12" s="12">
        <v>31</v>
      </c>
      <c r="H12" s="8">
        <v>0.83</v>
      </c>
      <c r="I12" s="12">
        <v>0</v>
      </c>
    </row>
    <row r="13" spans="2:9" ht="15" customHeight="1" x14ac:dyDescent="0.2">
      <c r="B13" t="s">
        <v>83</v>
      </c>
      <c r="C13" s="12">
        <v>1076</v>
      </c>
      <c r="D13" s="8">
        <v>17.63</v>
      </c>
      <c r="E13" s="12">
        <v>131</v>
      </c>
      <c r="F13" s="8">
        <v>5.76</v>
      </c>
      <c r="G13" s="12">
        <v>944</v>
      </c>
      <c r="H13" s="8">
        <v>25.14</v>
      </c>
      <c r="I13" s="12">
        <v>1</v>
      </c>
    </row>
    <row r="14" spans="2:9" ht="15" customHeight="1" x14ac:dyDescent="0.2">
      <c r="B14" t="s">
        <v>84</v>
      </c>
      <c r="C14" s="12">
        <v>436</v>
      </c>
      <c r="D14" s="8">
        <v>7.14</v>
      </c>
      <c r="E14" s="12">
        <v>175</v>
      </c>
      <c r="F14" s="8">
        <v>7.7</v>
      </c>
      <c r="G14" s="12">
        <v>260</v>
      </c>
      <c r="H14" s="8">
        <v>6.92</v>
      </c>
      <c r="I14" s="12">
        <v>1</v>
      </c>
    </row>
    <row r="15" spans="2:9" ht="15" customHeight="1" x14ac:dyDescent="0.2">
      <c r="B15" t="s">
        <v>85</v>
      </c>
      <c r="C15" s="12">
        <v>613</v>
      </c>
      <c r="D15" s="8">
        <v>10.039999999999999</v>
      </c>
      <c r="E15" s="12">
        <v>483</v>
      </c>
      <c r="F15" s="8">
        <v>21.25</v>
      </c>
      <c r="G15" s="12">
        <v>129</v>
      </c>
      <c r="H15" s="8">
        <v>3.44</v>
      </c>
      <c r="I15" s="12">
        <v>1</v>
      </c>
    </row>
    <row r="16" spans="2:9" ht="15" customHeight="1" x14ac:dyDescent="0.2">
      <c r="B16" t="s">
        <v>86</v>
      </c>
      <c r="C16" s="12">
        <v>641</v>
      </c>
      <c r="D16" s="8">
        <v>10.5</v>
      </c>
      <c r="E16" s="12">
        <v>439</v>
      </c>
      <c r="F16" s="8">
        <v>19.309999999999999</v>
      </c>
      <c r="G16" s="12">
        <v>201</v>
      </c>
      <c r="H16" s="8">
        <v>5.35</v>
      </c>
      <c r="I16" s="12">
        <v>1</v>
      </c>
    </row>
    <row r="17" spans="2:9" ht="15" customHeight="1" x14ac:dyDescent="0.2">
      <c r="B17" t="s">
        <v>87</v>
      </c>
      <c r="C17" s="12">
        <v>306</v>
      </c>
      <c r="D17" s="8">
        <v>5.01</v>
      </c>
      <c r="E17" s="12">
        <v>162</v>
      </c>
      <c r="F17" s="8">
        <v>7.13</v>
      </c>
      <c r="G17" s="12">
        <v>93</v>
      </c>
      <c r="H17" s="8">
        <v>2.48</v>
      </c>
      <c r="I17" s="12">
        <v>17</v>
      </c>
    </row>
    <row r="18" spans="2:9" ht="15" customHeight="1" x14ac:dyDescent="0.2">
      <c r="B18" t="s">
        <v>88</v>
      </c>
      <c r="C18" s="12">
        <v>384</v>
      </c>
      <c r="D18" s="8">
        <v>6.29</v>
      </c>
      <c r="E18" s="12">
        <v>239</v>
      </c>
      <c r="F18" s="8">
        <v>10.51</v>
      </c>
      <c r="G18" s="12">
        <v>135</v>
      </c>
      <c r="H18" s="8">
        <v>3.6</v>
      </c>
      <c r="I18" s="12">
        <v>2</v>
      </c>
    </row>
    <row r="19" spans="2:9" ht="15" customHeight="1" x14ac:dyDescent="0.2">
      <c r="B19" t="s">
        <v>89</v>
      </c>
      <c r="C19" s="12">
        <v>188</v>
      </c>
      <c r="D19" s="8">
        <v>3.08</v>
      </c>
      <c r="E19" s="12">
        <v>36</v>
      </c>
      <c r="F19" s="8">
        <v>1.58</v>
      </c>
      <c r="G19" s="12">
        <v>143</v>
      </c>
      <c r="H19" s="8">
        <v>3.81</v>
      </c>
      <c r="I19" s="12">
        <v>9</v>
      </c>
    </row>
    <row r="20" spans="2:9" ht="15" customHeight="1" x14ac:dyDescent="0.2">
      <c r="B20" s="9" t="s">
        <v>271</v>
      </c>
      <c r="C20" s="12">
        <f>SUM(LTBL_27205[総数／事業所数])</f>
        <v>6104</v>
      </c>
      <c r="E20" s="12">
        <f>SUBTOTAL(109,LTBL_27205[個人／事業所数])</f>
        <v>2273</v>
      </c>
      <c r="G20" s="12">
        <f>SUBTOTAL(109,LTBL_27205[法人／事業所数])</f>
        <v>3755</v>
      </c>
      <c r="I20" s="12">
        <f>SUBTOTAL(109,LTBL_27205[法人以外の団体／事業所数])</f>
        <v>32</v>
      </c>
    </row>
    <row r="21" spans="2:9" ht="15" customHeight="1" x14ac:dyDescent="0.2">
      <c r="E21" s="11">
        <f>LTBL_27205[[#Totals],[個人／事業所数]]/LTBL_27205[[#Totals],[総数／事業所数]]</f>
        <v>0.37237876802096986</v>
      </c>
      <c r="G21" s="11">
        <f>LTBL_27205[[#Totals],[法人／事業所数]]/LTBL_27205[[#Totals],[総数／事業所数]]</f>
        <v>0.615170380078637</v>
      </c>
      <c r="I21" s="11">
        <f>LTBL_27205[[#Totals],[法人以外の団体／事業所数]]/LTBL_27205[[#Totals],[総数／事業所数]]</f>
        <v>5.2424639580602884E-3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110</v>
      </c>
      <c r="C24" s="12">
        <v>906</v>
      </c>
      <c r="D24" s="8">
        <v>14.84</v>
      </c>
      <c r="E24" s="12">
        <v>115</v>
      </c>
      <c r="F24" s="8">
        <v>5.0599999999999996</v>
      </c>
      <c r="G24" s="12">
        <v>790</v>
      </c>
      <c r="H24" s="8">
        <v>21.04</v>
      </c>
      <c r="I24" s="12">
        <v>1</v>
      </c>
    </row>
    <row r="25" spans="2:9" ht="15" customHeight="1" x14ac:dyDescent="0.2">
      <c r="B25" t="s">
        <v>113</v>
      </c>
      <c r="C25" s="12">
        <v>551</v>
      </c>
      <c r="D25" s="8">
        <v>9.0299999999999994</v>
      </c>
      <c r="E25" s="12">
        <v>468</v>
      </c>
      <c r="F25" s="8">
        <v>20.59</v>
      </c>
      <c r="G25" s="12">
        <v>82</v>
      </c>
      <c r="H25" s="8">
        <v>2.1800000000000002</v>
      </c>
      <c r="I25" s="12">
        <v>1</v>
      </c>
    </row>
    <row r="26" spans="2:9" ht="15" customHeight="1" x14ac:dyDescent="0.2">
      <c r="B26" t="s">
        <v>114</v>
      </c>
      <c r="C26" s="12">
        <v>501</v>
      </c>
      <c r="D26" s="8">
        <v>8.2100000000000009</v>
      </c>
      <c r="E26" s="12">
        <v>390</v>
      </c>
      <c r="F26" s="8">
        <v>17.16</v>
      </c>
      <c r="G26" s="12">
        <v>111</v>
      </c>
      <c r="H26" s="8">
        <v>2.96</v>
      </c>
      <c r="I26" s="12">
        <v>0</v>
      </c>
    </row>
    <row r="27" spans="2:9" ht="15" customHeight="1" x14ac:dyDescent="0.2">
      <c r="B27" t="s">
        <v>115</v>
      </c>
      <c r="C27" s="12">
        <v>306</v>
      </c>
      <c r="D27" s="8">
        <v>5.01</v>
      </c>
      <c r="E27" s="12">
        <v>162</v>
      </c>
      <c r="F27" s="8">
        <v>7.13</v>
      </c>
      <c r="G27" s="12">
        <v>93</v>
      </c>
      <c r="H27" s="8">
        <v>2.48</v>
      </c>
      <c r="I27" s="12">
        <v>17</v>
      </c>
    </row>
    <row r="28" spans="2:9" ht="15" customHeight="1" x14ac:dyDescent="0.2">
      <c r="B28" t="s">
        <v>116</v>
      </c>
      <c r="C28" s="12">
        <v>289</v>
      </c>
      <c r="D28" s="8">
        <v>4.7300000000000004</v>
      </c>
      <c r="E28" s="12">
        <v>238</v>
      </c>
      <c r="F28" s="8">
        <v>10.47</v>
      </c>
      <c r="G28" s="12">
        <v>51</v>
      </c>
      <c r="H28" s="8">
        <v>1.36</v>
      </c>
      <c r="I28" s="12">
        <v>0</v>
      </c>
    </row>
    <row r="29" spans="2:9" ht="15" customHeight="1" x14ac:dyDescent="0.2">
      <c r="B29" t="s">
        <v>111</v>
      </c>
      <c r="C29" s="12">
        <v>263</v>
      </c>
      <c r="D29" s="8">
        <v>4.3099999999999996</v>
      </c>
      <c r="E29" s="12">
        <v>131</v>
      </c>
      <c r="F29" s="8">
        <v>5.76</v>
      </c>
      <c r="G29" s="12">
        <v>132</v>
      </c>
      <c r="H29" s="8">
        <v>3.52</v>
      </c>
      <c r="I29" s="12">
        <v>0</v>
      </c>
    </row>
    <row r="30" spans="2:9" ht="15" customHeight="1" x14ac:dyDescent="0.2">
      <c r="B30" t="s">
        <v>108</v>
      </c>
      <c r="C30" s="12">
        <v>260</v>
      </c>
      <c r="D30" s="8">
        <v>4.26</v>
      </c>
      <c r="E30" s="12">
        <v>140</v>
      </c>
      <c r="F30" s="8">
        <v>6.16</v>
      </c>
      <c r="G30" s="12">
        <v>120</v>
      </c>
      <c r="H30" s="8">
        <v>3.2</v>
      </c>
      <c r="I30" s="12">
        <v>0</v>
      </c>
    </row>
    <row r="31" spans="2:9" ht="15" customHeight="1" x14ac:dyDescent="0.2">
      <c r="B31" t="s">
        <v>98</v>
      </c>
      <c r="C31" s="12">
        <v>252</v>
      </c>
      <c r="D31" s="8">
        <v>4.13</v>
      </c>
      <c r="E31" s="12">
        <v>27</v>
      </c>
      <c r="F31" s="8">
        <v>1.19</v>
      </c>
      <c r="G31" s="12">
        <v>225</v>
      </c>
      <c r="H31" s="8">
        <v>5.99</v>
      </c>
      <c r="I31" s="12">
        <v>0</v>
      </c>
    </row>
    <row r="32" spans="2:9" ht="15" customHeight="1" x14ac:dyDescent="0.2">
      <c r="B32" t="s">
        <v>106</v>
      </c>
      <c r="C32" s="12">
        <v>214</v>
      </c>
      <c r="D32" s="8">
        <v>3.51</v>
      </c>
      <c r="E32" s="12">
        <v>155</v>
      </c>
      <c r="F32" s="8">
        <v>6.82</v>
      </c>
      <c r="G32" s="12">
        <v>59</v>
      </c>
      <c r="H32" s="8">
        <v>1.57</v>
      </c>
      <c r="I32" s="12">
        <v>0</v>
      </c>
    </row>
    <row r="33" spans="2:9" ht="15" customHeight="1" x14ac:dyDescent="0.2">
      <c r="B33" t="s">
        <v>103</v>
      </c>
      <c r="C33" s="12">
        <v>193</v>
      </c>
      <c r="D33" s="8">
        <v>3.16</v>
      </c>
      <c r="E33" s="12">
        <v>7</v>
      </c>
      <c r="F33" s="8">
        <v>0.31</v>
      </c>
      <c r="G33" s="12">
        <v>186</v>
      </c>
      <c r="H33" s="8">
        <v>4.95</v>
      </c>
      <c r="I33" s="12">
        <v>0</v>
      </c>
    </row>
    <row r="34" spans="2:9" ht="15" customHeight="1" x14ac:dyDescent="0.2">
      <c r="B34" t="s">
        <v>99</v>
      </c>
      <c r="C34" s="12">
        <v>182</v>
      </c>
      <c r="D34" s="8">
        <v>2.98</v>
      </c>
      <c r="E34" s="12">
        <v>26</v>
      </c>
      <c r="F34" s="8">
        <v>1.1399999999999999</v>
      </c>
      <c r="G34" s="12">
        <v>156</v>
      </c>
      <c r="H34" s="8">
        <v>4.1500000000000004</v>
      </c>
      <c r="I34" s="12">
        <v>0</v>
      </c>
    </row>
    <row r="35" spans="2:9" ht="15" customHeight="1" x14ac:dyDescent="0.2">
      <c r="B35" t="s">
        <v>100</v>
      </c>
      <c r="C35" s="12">
        <v>182</v>
      </c>
      <c r="D35" s="8">
        <v>2.98</v>
      </c>
      <c r="E35" s="12">
        <v>16</v>
      </c>
      <c r="F35" s="8">
        <v>0.7</v>
      </c>
      <c r="G35" s="12">
        <v>166</v>
      </c>
      <c r="H35" s="8">
        <v>4.42</v>
      </c>
      <c r="I35" s="12">
        <v>0</v>
      </c>
    </row>
    <row r="36" spans="2:9" ht="15" customHeight="1" x14ac:dyDescent="0.2">
      <c r="B36" t="s">
        <v>109</v>
      </c>
      <c r="C36" s="12">
        <v>145</v>
      </c>
      <c r="D36" s="8">
        <v>2.38</v>
      </c>
      <c r="E36" s="12">
        <v>16</v>
      </c>
      <c r="F36" s="8">
        <v>0.7</v>
      </c>
      <c r="G36" s="12">
        <v>129</v>
      </c>
      <c r="H36" s="8">
        <v>3.44</v>
      </c>
      <c r="I36" s="12">
        <v>0</v>
      </c>
    </row>
    <row r="37" spans="2:9" ht="15" customHeight="1" x14ac:dyDescent="0.2">
      <c r="B37" t="s">
        <v>112</v>
      </c>
      <c r="C37" s="12">
        <v>143</v>
      </c>
      <c r="D37" s="8">
        <v>2.34</v>
      </c>
      <c r="E37" s="12">
        <v>43</v>
      </c>
      <c r="F37" s="8">
        <v>1.89</v>
      </c>
      <c r="G37" s="12">
        <v>100</v>
      </c>
      <c r="H37" s="8">
        <v>2.66</v>
      </c>
      <c r="I37" s="12">
        <v>0</v>
      </c>
    </row>
    <row r="38" spans="2:9" ht="15" customHeight="1" x14ac:dyDescent="0.2">
      <c r="B38" t="s">
        <v>105</v>
      </c>
      <c r="C38" s="12">
        <v>134</v>
      </c>
      <c r="D38" s="8">
        <v>2.2000000000000002</v>
      </c>
      <c r="E38" s="12">
        <v>57</v>
      </c>
      <c r="F38" s="8">
        <v>2.5099999999999998</v>
      </c>
      <c r="G38" s="12">
        <v>77</v>
      </c>
      <c r="H38" s="8">
        <v>2.0499999999999998</v>
      </c>
      <c r="I38" s="12">
        <v>0</v>
      </c>
    </row>
    <row r="39" spans="2:9" ht="15" customHeight="1" x14ac:dyDescent="0.2">
      <c r="B39" t="s">
        <v>104</v>
      </c>
      <c r="C39" s="12">
        <v>125</v>
      </c>
      <c r="D39" s="8">
        <v>2.0499999999999998</v>
      </c>
      <c r="E39" s="12">
        <v>10</v>
      </c>
      <c r="F39" s="8">
        <v>0.44</v>
      </c>
      <c r="G39" s="12">
        <v>115</v>
      </c>
      <c r="H39" s="8">
        <v>3.06</v>
      </c>
      <c r="I39" s="12">
        <v>0</v>
      </c>
    </row>
    <row r="40" spans="2:9" ht="15" customHeight="1" x14ac:dyDescent="0.2">
      <c r="B40" t="s">
        <v>107</v>
      </c>
      <c r="C40" s="12">
        <v>105</v>
      </c>
      <c r="D40" s="8">
        <v>1.72</v>
      </c>
      <c r="E40" s="12">
        <v>58</v>
      </c>
      <c r="F40" s="8">
        <v>2.5499999999999998</v>
      </c>
      <c r="G40" s="12">
        <v>47</v>
      </c>
      <c r="H40" s="8">
        <v>1.25</v>
      </c>
      <c r="I40" s="12">
        <v>0</v>
      </c>
    </row>
    <row r="41" spans="2:9" ht="15" customHeight="1" x14ac:dyDescent="0.2">
      <c r="B41" t="s">
        <v>102</v>
      </c>
      <c r="C41" s="12">
        <v>101</v>
      </c>
      <c r="D41" s="8">
        <v>1.65</v>
      </c>
      <c r="E41" s="12">
        <v>9</v>
      </c>
      <c r="F41" s="8">
        <v>0.4</v>
      </c>
      <c r="G41" s="12">
        <v>92</v>
      </c>
      <c r="H41" s="8">
        <v>2.4500000000000002</v>
      </c>
      <c r="I41" s="12">
        <v>0</v>
      </c>
    </row>
    <row r="42" spans="2:9" ht="15" customHeight="1" x14ac:dyDescent="0.2">
      <c r="B42" t="s">
        <v>119</v>
      </c>
      <c r="C42" s="12">
        <v>100</v>
      </c>
      <c r="D42" s="8">
        <v>1.64</v>
      </c>
      <c r="E42" s="12">
        <v>5</v>
      </c>
      <c r="F42" s="8">
        <v>0.22</v>
      </c>
      <c r="G42" s="12">
        <v>93</v>
      </c>
      <c r="H42" s="8">
        <v>2.48</v>
      </c>
      <c r="I42" s="12">
        <v>2</v>
      </c>
    </row>
    <row r="43" spans="2:9" ht="15" customHeight="1" x14ac:dyDescent="0.2">
      <c r="B43" t="s">
        <v>117</v>
      </c>
      <c r="C43" s="12">
        <v>95</v>
      </c>
      <c r="D43" s="8">
        <v>1.56</v>
      </c>
      <c r="E43" s="12">
        <v>1</v>
      </c>
      <c r="F43" s="8">
        <v>0.04</v>
      </c>
      <c r="G43" s="12">
        <v>84</v>
      </c>
      <c r="H43" s="8">
        <v>2.2400000000000002</v>
      </c>
      <c r="I43" s="12">
        <v>2</v>
      </c>
    </row>
    <row r="46" spans="2:9" ht="33" customHeight="1" x14ac:dyDescent="0.2">
      <c r="B46" t="s">
        <v>273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160</v>
      </c>
      <c r="C47" s="12">
        <v>488</v>
      </c>
      <c r="D47" s="8">
        <v>7.99</v>
      </c>
      <c r="E47" s="12">
        <v>73</v>
      </c>
      <c r="F47" s="8">
        <v>3.21</v>
      </c>
      <c r="G47" s="12">
        <v>415</v>
      </c>
      <c r="H47" s="8">
        <v>11.05</v>
      </c>
      <c r="I47" s="12">
        <v>0</v>
      </c>
    </row>
    <row r="48" spans="2:9" ht="15" customHeight="1" x14ac:dyDescent="0.2">
      <c r="B48" t="s">
        <v>169</v>
      </c>
      <c r="C48" s="12">
        <v>249</v>
      </c>
      <c r="D48" s="8">
        <v>4.08</v>
      </c>
      <c r="E48" s="12">
        <v>218</v>
      </c>
      <c r="F48" s="8">
        <v>9.59</v>
      </c>
      <c r="G48" s="12">
        <v>31</v>
      </c>
      <c r="H48" s="8">
        <v>0.83</v>
      </c>
      <c r="I48" s="12">
        <v>0</v>
      </c>
    </row>
    <row r="49" spans="2:9" ht="15" customHeight="1" x14ac:dyDescent="0.2">
      <c r="B49" t="s">
        <v>171</v>
      </c>
      <c r="C49" s="12">
        <v>203</v>
      </c>
      <c r="D49" s="8">
        <v>3.33</v>
      </c>
      <c r="E49" s="12">
        <v>173</v>
      </c>
      <c r="F49" s="8">
        <v>7.61</v>
      </c>
      <c r="G49" s="12">
        <v>30</v>
      </c>
      <c r="H49" s="8">
        <v>0.8</v>
      </c>
      <c r="I49" s="12">
        <v>0</v>
      </c>
    </row>
    <row r="50" spans="2:9" ht="15" customHeight="1" x14ac:dyDescent="0.2">
      <c r="B50" t="s">
        <v>159</v>
      </c>
      <c r="C50" s="12">
        <v>190</v>
      </c>
      <c r="D50" s="8">
        <v>3.11</v>
      </c>
      <c r="E50" s="12">
        <v>10</v>
      </c>
      <c r="F50" s="8">
        <v>0.44</v>
      </c>
      <c r="G50" s="12">
        <v>179</v>
      </c>
      <c r="H50" s="8">
        <v>4.7699999999999996</v>
      </c>
      <c r="I50" s="12">
        <v>1</v>
      </c>
    </row>
    <row r="51" spans="2:9" ht="15" customHeight="1" x14ac:dyDescent="0.2">
      <c r="B51" t="s">
        <v>162</v>
      </c>
      <c r="C51" s="12">
        <v>166</v>
      </c>
      <c r="D51" s="8">
        <v>2.72</v>
      </c>
      <c r="E51" s="12">
        <v>8</v>
      </c>
      <c r="F51" s="8">
        <v>0.35</v>
      </c>
      <c r="G51" s="12">
        <v>158</v>
      </c>
      <c r="H51" s="8">
        <v>4.21</v>
      </c>
      <c r="I51" s="12">
        <v>0</v>
      </c>
    </row>
    <row r="52" spans="2:9" ht="15" customHeight="1" x14ac:dyDescent="0.2">
      <c r="B52" t="s">
        <v>170</v>
      </c>
      <c r="C52" s="12">
        <v>162</v>
      </c>
      <c r="D52" s="8">
        <v>2.65</v>
      </c>
      <c r="E52" s="12">
        <v>117</v>
      </c>
      <c r="F52" s="8">
        <v>5.15</v>
      </c>
      <c r="G52" s="12">
        <v>44</v>
      </c>
      <c r="H52" s="8">
        <v>1.17</v>
      </c>
      <c r="I52" s="12">
        <v>1</v>
      </c>
    </row>
    <row r="53" spans="2:9" ht="15" customHeight="1" x14ac:dyDescent="0.2">
      <c r="B53" t="s">
        <v>165</v>
      </c>
      <c r="C53" s="12">
        <v>138</v>
      </c>
      <c r="D53" s="8">
        <v>2.2599999999999998</v>
      </c>
      <c r="E53" s="12">
        <v>128</v>
      </c>
      <c r="F53" s="8">
        <v>5.63</v>
      </c>
      <c r="G53" s="12">
        <v>10</v>
      </c>
      <c r="H53" s="8">
        <v>0.27</v>
      </c>
      <c r="I53" s="12">
        <v>0</v>
      </c>
    </row>
    <row r="54" spans="2:9" ht="15" customHeight="1" x14ac:dyDescent="0.2">
      <c r="B54" t="s">
        <v>164</v>
      </c>
      <c r="C54" s="12">
        <v>131</v>
      </c>
      <c r="D54" s="8">
        <v>2.15</v>
      </c>
      <c r="E54" s="12">
        <v>104</v>
      </c>
      <c r="F54" s="8">
        <v>4.58</v>
      </c>
      <c r="G54" s="12">
        <v>27</v>
      </c>
      <c r="H54" s="8">
        <v>0.72</v>
      </c>
      <c r="I54" s="12">
        <v>0</v>
      </c>
    </row>
    <row r="55" spans="2:9" ht="15" customHeight="1" x14ac:dyDescent="0.2">
      <c r="B55" t="s">
        <v>168</v>
      </c>
      <c r="C55" s="12">
        <v>118</v>
      </c>
      <c r="D55" s="8">
        <v>1.93</v>
      </c>
      <c r="E55" s="12">
        <v>102</v>
      </c>
      <c r="F55" s="8">
        <v>4.49</v>
      </c>
      <c r="G55" s="12">
        <v>16</v>
      </c>
      <c r="H55" s="8">
        <v>0.43</v>
      </c>
      <c r="I55" s="12">
        <v>0</v>
      </c>
    </row>
    <row r="56" spans="2:9" ht="15" customHeight="1" x14ac:dyDescent="0.2">
      <c r="B56" t="s">
        <v>158</v>
      </c>
      <c r="C56" s="12">
        <v>112</v>
      </c>
      <c r="D56" s="8">
        <v>1.83</v>
      </c>
      <c r="E56" s="12">
        <v>12</v>
      </c>
      <c r="F56" s="8">
        <v>0.53</v>
      </c>
      <c r="G56" s="12">
        <v>100</v>
      </c>
      <c r="H56" s="8">
        <v>2.66</v>
      </c>
      <c r="I56" s="12">
        <v>0</v>
      </c>
    </row>
    <row r="57" spans="2:9" ht="15" customHeight="1" x14ac:dyDescent="0.2">
      <c r="B57" t="s">
        <v>167</v>
      </c>
      <c r="C57" s="12">
        <v>107</v>
      </c>
      <c r="D57" s="8">
        <v>1.75</v>
      </c>
      <c r="E57" s="12">
        <v>97</v>
      </c>
      <c r="F57" s="8">
        <v>4.2699999999999996</v>
      </c>
      <c r="G57" s="12">
        <v>10</v>
      </c>
      <c r="H57" s="8">
        <v>0.27</v>
      </c>
      <c r="I57" s="12">
        <v>0</v>
      </c>
    </row>
    <row r="58" spans="2:9" ht="15" customHeight="1" x14ac:dyDescent="0.2">
      <c r="B58" t="s">
        <v>157</v>
      </c>
      <c r="C58" s="12">
        <v>101</v>
      </c>
      <c r="D58" s="8">
        <v>1.65</v>
      </c>
      <c r="E58" s="12">
        <v>75</v>
      </c>
      <c r="F58" s="8">
        <v>3.3</v>
      </c>
      <c r="G58" s="12">
        <v>26</v>
      </c>
      <c r="H58" s="8">
        <v>0.69</v>
      </c>
      <c r="I58" s="12">
        <v>0</v>
      </c>
    </row>
    <row r="59" spans="2:9" ht="15" customHeight="1" x14ac:dyDescent="0.2">
      <c r="B59" t="s">
        <v>172</v>
      </c>
      <c r="C59" s="12">
        <v>83</v>
      </c>
      <c r="D59" s="8">
        <v>1.36</v>
      </c>
      <c r="E59" s="12">
        <v>21</v>
      </c>
      <c r="F59" s="8">
        <v>0.92</v>
      </c>
      <c r="G59" s="12">
        <v>62</v>
      </c>
      <c r="H59" s="8">
        <v>1.65</v>
      </c>
      <c r="I59" s="12">
        <v>0</v>
      </c>
    </row>
    <row r="60" spans="2:9" ht="15" customHeight="1" x14ac:dyDescent="0.2">
      <c r="B60" t="s">
        <v>152</v>
      </c>
      <c r="C60" s="12">
        <v>82</v>
      </c>
      <c r="D60" s="8">
        <v>1.34</v>
      </c>
      <c r="E60" s="12">
        <v>3</v>
      </c>
      <c r="F60" s="8">
        <v>0.13</v>
      </c>
      <c r="G60" s="12">
        <v>79</v>
      </c>
      <c r="H60" s="8">
        <v>2.1</v>
      </c>
      <c r="I60" s="12">
        <v>0</v>
      </c>
    </row>
    <row r="61" spans="2:9" ht="15" customHeight="1" x14ac:dyDescent="0.2">
      <c r="B61" t="s">
        <v>179</v>
      </c>
      <c r="C61" s="12">
        <v>78</v>
      </c>
      <c r="D61" s="8">
        <v>1.28</v>
      </c>
      <c r="E61" s="12">
        <v>2</v>
      </c>
      <c r="F61" s="8">
        <v>0.09</v>
      </c>
      <c r="G61" s="12">
        <v>76</v>
      </c>
      <c r="H61" s="8">
        <v>2.02</v>
      </c>
      <c r="I61" s="12">
        <v>0</v>
      </c>
    </row>
    <row r="62" spans="2:9" ht="15" customHeight="1" x14ac:dyDescent="0.2">
      <c r="B62" t="s">
        <v>155</v>
      </c>
      <c r="C62" s="12">
        <v>78</v>
      </c>
      <c r="D62" s="8">
        <v>1.28</v>
      </c>
      <c r="E62" s="12">
        <v>41</v>
      </c>
      <c r="F62" s="8">
        <v>1.8</v>
      </c>
      <c r="G62" s="12">
        <v>37</v>
      </c>
      <c r="H62" s="8">
        <v>0.99</v>
      </c>
      <c r="I62" s="12">
        <v>0</v>
      </c>
    </row>
    <row r="63" spans="2:9" ht="15" customHeight="1" x14ac:dyDescent="0.2">
      <c r="B63" t="s">
        <v>199</v>
      </c>
      <c r="C63" s="12">
        <v>78</v>
      </c>
      <c r="D63" s="8">
        <v>1.28</v>
      </c>
      <c r="E63" s="12">
        <v>44</v>
      </c>
      <c r="F63" s="8">
        <v>1.94</v>
      </c>
      <c r="G63" s="12">
        <v>34</v>
      </c>
      <c r="H63" s="8">
        <v>0.91</v>
      </c>
      <c r="I63" s="12">
        <v>0</v>
      </c>
    </row>
    <row r="64" spans="2:9" ht="15" customHeight="1" x14ac:dyDescent="0.2">
      <c r="B64" t="s">
        <v>154</v>
      </c>
      <c r="C64" s="12">
        <v>77</v>
      </c>
      <c r="D64" s="8">
        <v>1.26</v>
      </c>
      <c r="E64" s="12">
        <v>6</v>
      </c>
      <c r="F64" s="8">
        <v>0.26</v>
      </c>
      <c r="G64" s="12">
        <v>71</v>
      </c>
      <c r="H64" s="8">
        <v>1.89</v>
      </c>
      <c r="I64" s="12">
        <v>0</v>
      </c>
    </row>
    <row r="65" spans="2:9" ht="15" customHeight="1" x14ac:dyDescent="0.2">
      <c r="B65" t="s">
        <v>156</v>
      </c>
      <c r="C65" s="12">
        <v>74</v>
      </c>
      <c r="D65" s="8">
        <v>1.21</v>
      </c>
      <c r="E65" s="12">
        <v>47</v>
      </c>
      <c r="F65" s="8">
        <v>2.0699999999999998</v>
      </c>
      <c r="G65" s="12">
        <v>27</v>
      </c>
      <c r="H65" s="8">
        <v>0.72</v>
      </c>
      <c r="I65" s="12">
        <v>0</v>
      </c>
    </row>
    <row r="66" spans="2:9" ht="15" customHeight="1" x14ac:dyDescent="0.2">
      <c r="B66" t="s">
        <v>153</v>
      </c>
      <c r="C66" s="12">
        <v>73</v>
      </c>
      <c r="D66" s="8">
        <v>1.2</v>
      </c>
      <c r="E66" s="12">
        <v>8</v>
      </c>
      <c r="F66" s="8">
        <v>0.35</v>
      </c>
      <c r="G66" s="12">
        <v>65</v>
      </c>
      <c r="H66" s="8">
        <v>1.73</v>
      </c>
      <c r="I66" s="12">
        <v>0</v>
      </c>
    </row>
    <row r="68" spans="2:9" ht="15" customHeight="1" x14ac:dyDescent="0.2">
      <c r="B68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09FF2-9837-493A-BFF7-A7C6909CA615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312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158</v>
      </c>
      <c r="D6" s="8">
        <v>8.61</v>
      </c>
      <c r="E6" s="12">
        <v>48</v>
      </c>
      <c r="F6" s="8">
        <v>4.4400000000000004</v>
      </c>
      <c r="G6" s="12">
        <v>110</v>
      </c>
      <c r="H6" s="8">
        <v>14.67</v>
      </c>
      <c r="I6" s="12">
        <v>0</v>
      </c>
    </row>
    <row r="7" spans="2:9" ht="15" customHeight="1" x14ac:dyDescent="0.2">
      <c r="B7" t="s">
        <v>77</v>
      </c>
      <c r="C7" s="12">
        <v>216</v>
      </c>
      <c r="D7" s="8">
        <v>11.77</v>
      </c>
      <c r="E7" s="12">
        <v>103</v>
      </c>
      <c r="F7" s="8">
        <v>9.5399999999999991</v>
      </c>
      <c r="G7" s="12">
        <v>113</v>
      </c>
      <c r="H7" s="8">
        <v>15.07</v>
      </c>
      <c r="I7" s="12">
        <v>0</v>
      </c>
    </row>
    <row r="8" spans="2:9" ht="15" customHeight="1" x14ac:dyDescent="0.2">
      <c r="B8" t="s">
        <v>78</v>
      </c>
      <c r="C8" s="12">
        <v>3</v>
      </c>
      <c r="D8" s="8">
        <v>0.16</v>
      </c>
      <c r="E8" s="12">
        <v>0</v>
      </c>
      <c r="F8" s="8">
        <v>0</v>
      </c>
      <c r="G8" s="12">
        <v>1</v>
      </c>
      <c r="H8" s="8">
        <v>0.13</v>
      </c>
      <c r="I8" s="12">
        <v>0</v>
      </c>
    </row>
    <row r="9" spans="2:9" ht="15" customHeight="1" x14ac:dyDescent="0.2">
      <c r="B9" t="s">
        <v>79</v>
      </c>
      <c r="C9" s="12">
        <v>13</v>
      </c>
      <c r="D9" s="8">
        <v>0.71</v>
      </c>
      <c r="E9" s="12">
        <v>2</v>
      </c>
      <c r="F9" s="8">
        <v>0.19</v>
      </c>
      <c r="G9" s="12">
        <v>11</v>
      </c>
      <c r="H9" s="8">
        <v>1.47</v>
      </c>
      <c r="I9" s="12">
        <v>0</v>
      </c>
    </row>
    <row r="10" spans="2:9" ht="15" customHeight="1" x14ac:dyDescent="0.2">
      <c r="B10" t="s">
        <v>80</v>
      </c>
      <c r="C10" s="12">
        <v>42</v>
      </c>
      <c r="D10" s="8">
        <v>2.29</v>
      </c>
      <c r="E10" s="12">
        <v>3</v>
      </c>
      <c r="F10" s="8">
        <v>0.28000000000000003</v>
      </c>
      <c r="G10" s="12">
        <v>39</v>
      </c>
      <c r="H10" s="8">
        <v>5.2</v>
      </c>
      <c r="I10" s="12">
        <v>0</v>
      </c>
    </row>
    <row r="11" spans="2:9" ht="15" customHeight="1" x14ac:dyDescent="0.2">
      <c r="B11" t="s">
        <v>81</v>
      </c>
      <c r="C11" s="12">
        <v>342</v>
      </c>
      <c r="D11" s="8">
        <v>18.64</v>
      </c>
      <c r="E11" s="12">
        <v>191</v>
      </c>
      <c r="F11" s="8">
        <v>17.690000000000001</v>
      </c>
      <c r="G11" s="12">
        <v>151</v>
      </c>
      <c r="H11" s="8">
        <v>20.13</v>
      </c>
      <c r="I11" s="12">
        <v>0</v>
      </c>
    </row>
    <row r="12" spans="2:9" ht="15" customHeight="1" x14ac:dyDescent="0.2">
      <c r="B12" t="s">
        <v>82</v>
      </c>
      <c r="C12" s="12">
        <v>9</v>
      </c>
      <c r="D12" s="8">
        <v>0.49</v>
      </c>
      <c r="E12" s="12">
        <v>3</v>
      </c>
      <c r="F12" s="8">
        <v>0.28000000000000003</v>
      </c>
      <c r="G12" s="12">
        <v>6</v>
      </c>
      <c r="H12" s="8">
        <v>0.8</v>
      </c>
      <c r="I12" s="12">
        <v>0</v>
      </c>
    </row>
    <row r="13" spans="2:9" ht="15" customHeight="1" x14ac:dyDescent="0.2">
      <c r="B13" t="s">
        <v>83</v>
      </c>
      <c r="C13" s="12">
        <v>347</v>
      </c>
      <c r="D13" s="8">
        <v>18.91</v>
      </c>
      <c r="E13" s="12">
        <v>171</v>
      </c>
      <c r="F13" s="8">
        <v>15.83</v>
      </c>
      <c r="G13" s="12">
        <v>175</v>
      </c>
      <c r="H13" s="8">
        <v>23.33</v>
      </c>
      <c r="I13" s="12">
        <v>1</v>
      </c>
    </row>
    <row r="14" spans="2:9" ht="15" customHeight="1" x14ac:dyDescent="0.2">
      <c r="B14" t="s">
        <v>84</v>
      </c>
      <c r="C14" s="12">
        <v>60</v>
      </c>
      <c r="D14" s="8">
        <v>3.27</v>
      </c>
      <c r="E14" s="12">
        <v>39</v>
      </c>
      <c r="F14" s="8">
        <v>3.61</v>
      </c>
      <c r="G14" s="12">
        <v>21</v>
      </c>
      <c r="H14" s="8">
        <v>2.8</v>
      </c>
      <c r="I14" s="12">
        <v>0</v>
      </c>
    </row>
    <row r="15" spans="2:9" ht="15" customHeight="1" x14ac:dyDescent="0.2">
      <c r="B15" t="s">
        <v>85</v>
      </c>
      <c r="C15" s="12">
        <v>258</v>
      </c>
      <c r="D15" s="8">
        <v>14.06</v>
      </c>
      <c r="E15" s="12">
        <v>236</v>
      </c>
      <c r="F15" s="8">
        <v>21.85</v>
      </c>
      <c r="G15" s="12">
        <v>22</v>
      </c>
      <c r="H15" s="8">
        <v>2.93</v>
      </c>
      <c r="I15" s="12">
        <v>0</v>
      </c>
    </row>
    <row r="16" spans="2:9" ht="15" customHeight="1" x14ac:dyDescent="0.2">
      <c r="B16" t="s">
        <v>86</v>
      </c>
      <c r="C16" s="12">
        <v>166</v>
      </c>
      <c r="D16" s="8">
        <v>9.0500000000000007</v>
      </c>
      <c r="E16" s="12">
        <v>133</v>
      </c>
      <c r="F16" s="8">
        <v>12.31</v>
      </c>
      <c r="G16" s="12">
        <v>33</v>
      </c>
      <c r="H16" s="8">
        <v>4.4000000000000004</v>
      </c>
      <c r="I16" s="12">
        <v>0</v>
      </c>
    </row>
    <row r="17" spans="2:9" ht="15" customHeight="1" x14ac:dyDescent="0.2">
      <c r="B17" t="s">
        <v>87</v>
      </c>
      <c r="C17" s="12">
        <v>71</v>
      </c>
      <c r="D17" s="8">
        <v>3.87</v>
      </c>
      <c r="E17" s="12">
        <v>55</v>
      </c>
      <c r="F17" s="8">
        <v>5.09</v>
      </c>
      <c r="G17" s="12">
        <v>16</v>
      </c>
      <c r="H17" s="8">
        <v>2.13</v>
      </c>
      <c r="I17" s="12">
        <v>0</v>
      </c>
    </row>
    <row r="18" spans="2:9" ht="15" customHeight="1" x14ac:dyDescent="0.2">
      <c r="B18" t="s">
        <v>88</v>
      </c>
      <c r="C18" s="12">
        <v>86</v>
      </c>
      <c r="D18" s="8">
        <v>4.6900000000000004</v>
      </c>
      <c r="E18" s="12">
        <v>62</v>
      </c>
      <c r="F18" s="8">
        <v>5.74</v>
      </c>
      <c r="G18" s="12">
        <v>24</v>
      </c>
      <c r="H18" s="8">
        <v>3.2</v>
      </c>
      <c r="I18" s="12">
        <v>0</v>
      </c>
    </row>
    <row r="19" spans="2:9" ht="15" customHeight="1" x14ac:dyDescent="0.2">
      <c r="B19" t="s">
        <v>89</v>
      </c>
      <c r="C19" s="12">
        <v>64</v>
      </c>
      <c r="D19" s="8">
        <v>3.49</v>
      </c>
      <c r="E19" s="12">
        <v>34</v>
      </c>
      <c r="F19" s="8">
        <v>3.15</v>
      </c>
      <c r="G19" s="12">
        <v>28</v>
      </c>
      <c r="H19" s="8">
        <v>3.73</v>
      </c>
      <c r="I19" s="12">
        <v>0</v>
      </c>
    </row>
    <row r="20" spans="2:9" ht="15" customHeight="1" x14ac:dyDescent="0.2">
      <c r="B20" s="9" t="s">
        <v>271</v>
      </c>
      <c r="C20" s="12">
        <f>SUM(LTBL_27206[総数／事業所数])</f>
        <v>1835</v>
      </c>
      <c r="E20" s="12">
        <f>SUBTOTAL(109,LTBL_27206[個人／事業所数])</f>
        <v>1080</v>
      </c>
      <c r="G20" s="12">
        <f>SUBTOTAL(109,LTBL_27206[法人／事業所数])</f>
        <v>750</v>
      </c>
      <c r="I20" s="12">
        <f>SUBTOTAL(109,LTBL_27206[法人以外の団体／事業所数])</f>
        <v>1</v>
      </c>
    </row>
    <row r="21" spans="2:9" ht="15" customHeight="1" x14ac:dyDescent="0.2">
      <c r="E21" s="11">
        <f>LTBL_27206[[#Totals],[個人／事業所数]]/LTBL_27206[[#Totals],[総数／事業所数]]</f>
        <v>0.58855585831062673</v>
      </c>
      <c r="G21" s="11">
        <f>LTBL_27206[[#Totals],[法人／事業所数]]/LTBL_27206[[#Totals],[総数／事業所数]]</f>
        <v>0.40871934604904631</v>
      </c>
      <c r="I21" s="11">
        <f>LTBL_27206[[#Totals],[法人以外の団体／事業所数]]/LTBL_27206[[#Totals],[総数／事業所数]]</f>
        <v>5.4495912806539512E-4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110</v>
      </c>
      <c r="C24" s="12">
        <v>312</v>
      </c>
      <c r="D24" s="8">
        <v>17</v>
      </c>
      <c r="E24" s="12">
        <v>166</v>
      </c>
      <c r="F24" s="8">
        <v>15.37</v>
      </c>
      <c r="G24" s="12">
        <v>145</v>
      </c>
      <c r="H24" s="8">
        <v>19.329999999999998</v>
      </c>
      <c r="I24" s="12">
        <v>1</v>
      </c>
    </row>
    <row r="25" spans="2:9" ht="15" customHeight="1" x14ac:dyDescent="0.2">
      <c r="B25" t="s">
        <v>113</v>
      </c>
      <c r="C25" s="12">
        <v>238</v>
      </c>
      <c r="D25" s="8">
        <v>12.97</v>
      </c>
      <c r="E25" s="12">
        <v>226</v>
      </c>
      <c r="F25" s="8">
        <v>20.93</v>
      </c>
      <c r="G25" s="12">
        <v>12</v>
      </c>
      <c r="H25" s="8">
        <v>1.6</v>
      </c>
      <c r="I25" s="12">
        <v>0</v>
      </c>
    </row>
    <row r="26" spans="2:9" ht="15" customHeight="1" x14ac:dyDescent="0.2">
      <c r="B26" t="s">
        <v>114</v>
      </c>
      <c r="C26" s="12">
        <v>133</v>
      </c>
      <c r="D26" s="8">
        <v>7.25</v>
      </c>
      <c r="E26" s="12">
        <v>115</v>
      </c>
      <c r="F26" s="8">
        <v>10.65</v>
      </c>
      <c r="G26" s="12">
        <v>18</v>
      </c>
      <c r="H26" s="8">
        <v>2.4</v>
      </c>
      <c r="I26" s="12">
        <v>0</v>
      </c>
    </row>
    <row r="27" spans="2:9" ht="15" customHeight="1" x14ac:dyDescent="0.2">
      <c r="B27" t="s">
        <v>120</v>
      </c>
      <c r="C27" s="12">
        <v>128</v>
      </c>
      <c r="D27" s="8">
        <v>6.98</v>
      </c>
      <c r="E27" s="12">
        <v>76</v>
      </c>
      <c r="F27" s="8">
        <v>7.04</v>
      </c>
      <c r="G27" s="12">
        <v>52</v>
      </c>
      <c r="H27" s="8">
        <v>6.93</v>
      </c>
      <c r="I27" s="12">
        <v>0</v>
      </c>
    </row>
    <row r="28" spans="2:9" ht="15" customHeight="1" x14ac:dyDescent="0.2">
      <c r="B28" t="s">
        <v>108</v>
      </c>
      <c r="C28" s="12">
        <v>89</v>
      </c>
      <c r="D28" s="8">
        <v>4.8499999999999996</v>
      </c>
      <c r="E28" s="12">
        <v>61</v>
      </c>
      <c r="F28" s="8">
        <v>5.65</v>
      </c>
      <c r="G28" s="12">
        <v>28</v>
      </c>
      <c r="H28" s="8">
        <v>3.73</v>
      </c>
      <c r="I28" s="12">
        <v>0</v>
      </c>
    </row>
    <row r="29" spans="2:9" ht="15" customHeight="1" x14ac:dyDescent="0.2">
      <c r="B29" t="s">
        <v>115</v>
      </c>
      <c r="C29" s="12">
        <v>71</v>
      </c>
      <c r="D29" s="8">
        <v>3.87</v>
      </c>
      <c r="E29" s="12">
        <v>55</v>
      </c>
      <c r="F29" s="8">
        <v>5.09</v>
      </c>
      <c r="G29" s="12">
        <v>16</v>
      </c>
      <c r="H29" s="8">
        <v>2.13</v>
      </c>
      <c r="I29" s="12">
        <v>0</v>
      </c>
    </row>
    <row r="30" spans="2:9" ht="15" customHeight="1" x14ac:dyDescent="0.2">
      <c r="B30" t="s">
        <v>116</v>
      </c>
      <c r="C30" s="12">
        <v>67</v>
      </c>
      <c r="D30" s="8">
        <v>3.65</v>
      </c>
      <c r="E30" s="12">
        <v>61</v>
      </c>
      <c r="F30" s="8">
        <v>5.65</v>
      </c>
      <c r="G30" s="12">
        <v>6</v>
      </c>
      <c r="H30" s="8">
        <v>0.8</v>
      </c>
      <c r="I30" s="12">
        <v>0</v>
      </c>
    </row>
    <row r="31" spans="2:9" ht="15" customHeight="1" x14ac:dyDescent="0.2">
      <c r="B31" t="s">
        <v>98</v>
      </c>
      <c r="C31" s="12">
        <v>64</v>
      </c>
      <c r="D31" s="8">
        <v>3.49</v>
      </c>
      <c r="E31" s="12">
        <v>17</v>
      </c>
      <c r="F31" s="8">
        <v>1.57</v>
      </c>
      <c r="G31" s="12">
        <v>47</v>
      </c>
      <c r="H31" s="8">
        <v>6.27</v>
      </c>
      <c r="I31" s="12">
        <v>0</v>
      </c>
    </row>
    <row r="32" spans="2:9" ht="15" customHeight="1" x14ac:dyDescent="0.2">
      <c r="B32" t="s">
        <v>106</v>
      </c>
      <c r="C32" s="12">
        <v>57</v>
      </c>
      <c r="D32" s="8">
        <v>3.11</v>
      </c>
      <c r="E32" s="12">
        <v>45</v>
      </c>
      <c r="F32" s="8">
        <v>4.17</v>
      </c>
      <c r="G32" s="12">
        <v>12</v>
      </c>
      <c r="H32" s="8">
        <v>1.6</v>
      </c>
      <c r="I32" s="12">
        <v>0</v>
      </c>
    </row>
    <row r="33" spans="2:9" ht="15" customHeight="1" x14ac:dyDescent="0.2">
      <c r="B33" t="s">
        <v>100</v>
      </c>
      <c r="C33" s="12">
        <v>54</v>
      </c>
      <c r="D33" s="8">
        <v>2.94</v>
      </c>
      <c r="E33" s="12">
        <v>14</v>
      </c>
      <c r="F33" s="8">
        <v>1.3</v>
      </c>
      <c r="G33" s="12">
        <v>40</v>
      </c>
      <c r="H33" s="8">
        <v>5.33</v>
      </c>
      <c r="I33" s="12">
        <v>0</v>
      </c>
    </row>
    <row r="34" spans="2:9" ht="15" customHeight="1" x14ac:dyDescent="0.2">
      <c r="B34" t="s">
        <v>107</v>
      </c>
      <c r="C34" s="12">
        <v>43</v>
      </c>
      <c r="D34" s="8">
        <v>2.34</v>
      </c>
      <c r="E34" s="12">
        <v>25</v>
      </c>
      <c r="F34" s="8">
        <v>2.31</v>
      </c>
      <c r="G34" s="12">
        <v>18</v>
      </c>
      <c r="H34" s="8">
        <v>2.4</v>
      </c>
      <c r="I34" s="12">
        <v>0</v>
      </c>
    </row>
    <row r="35" spans="2:9" ht="15" customHeight="1" x14ac:dyDescent="0.2">
      <c r="B35" t="s">
        <v>111</v>
      </c>
      <c r="C35" s="12">
        <v>43</v>
      </c>
      <c r="D35" s="8">
        <v>2.34</v>
      </c>
      <c r="E35" s="12">
        <v>32</v>
      </c>
      <c r="F35" s="8">
        <v>2.96</v>
      </c>
      <c r="G35" s="12">
        <v>11</v>
      </c>
      <c r="H35" s="8">
        <v>1.47</v>
      </c>
      <c r="I35" s="12">
        <v>0</v>
      </c>
    </row>
    <row r="36" spans="2:9" ht="15" customHeight="1" x14ac:dyDescent="0.2">
      <c r="B36" t="s">
        <v>99</v>
      </c>
      <c r="C36" s="12">
        <v>40</v>
      </c>
      <c r="D36" s="8">
        <v>2.1800000000000002</v>
      </c>
      <c r="E36" s="12">
        <v>17</v>
      </c>
      <c r="F36" s="8">
        <v>1.57</v>
      </c>
      <c r="G36" s="12">
        <v>23</v>
      </c>
      <c r="H36" s="8">
        <v>3.07</v>
      </c>
      <c r="I36" s="12">
        <v>0</v>
      </c>
    </row>
    <row r="37" spans="2:9" ht="15" customHeight="1" x14ac:dyDescent="0.2">
      <c r="B37" t="s">
        <v>105</v>
      </c>
      <c r="C37" s="12">
        <v>38</v>
      </c>
      <c r="D37" s="8">
        <v>2.0699999999999998</v>
      </c>
      <c r="E37" s="12">
        <v>31</v>
      </c>
      <c r="F37" s="8">
        <v>2.87</v>
      </c>
      <c r="G37" s="12">
        <v>7</v>
      </c>
      <c r="H37" s="8">
        <v>0.93</v>
      </c>
      <c r="I37" s="12">
        <v>0</v>
      </c>
    </row>
    <row r="38" spans="2:9" ht="15" customHeight="1" x14ac:dyDescent="0.2">
      <c r="B38" t="s">
        <v>119</v>
      </c>
      <c r="C38" s="12">
        <v>32</v>
      </c>
      <c r="D38" s="8">
        <v>1.74</v>
      </c>
      <c r="E38" s="12">
        <v>13</v>
      </c>
      <c r="F38" s="8">
        <v>1.2</v>
      </c>
      <c r="G38" s="12">
        <v>19</v>
      </c>
      <c r="H38" s="8">
        <v>2.5299999999999998</v>
      </c>
      <c r="I38" s="12">
        <v>0</v>
      </c>
    </row>
    <row r="39" spans="2:9" ht="15" customHeight="1" x14ac:dyDescent="0.2">
      <c r="B39" t="s">
        <v>102</v>
      </c>
      <c r="C39" s="12">
        <v>28</v>
      </c>
      <c r="D39" s="8">
        <v>1.53</v>
      </c>
      <c r="E39" s="12">
        <v>4</v>
      </c>
      <c r="F39" s="8">
        <v>0.37</v>
      </c>
      <c r="G39" s="12">
        <v>24</v>
      </c>
      <c r="H39" s="8">
        <v>3.2</v>
      </c>
      <c r="I39" s="12">
        <v>0</v>
      </c>
    </row>
    <row r="40" spans="2:9" ht="15" customHeight="1" x14ac:dyDescent="0.2">
      <c r="B40" t="s">
        <v>109</v>
      </c>
      <c r="C40" s="12">
        <v>26</v>
      </c>
      <c r="D40" s="8">
        <v>1.42</v>
      </c>
      <c r="E40" s="12">
        <v>3</v>
      </c>
      <c r="F40" s="8">
        <v>0.28000000000000003</v>
      </c>
      <c r="G40" s="12">
        <v>23</v>
      </c>
      <c r="H40" s="8">
        <v>3.07</v>
      </c>
      <c r="I40" s="12">
        <v>0</v>
      </c>
    </row>
    <row r="41" spans="2:9" ht="15" customHeight="1" x14ac:dyDescent="0.2">
      <c r="B41" t="s">
        <v>129</v>
      </c>
      <c r="C41" s="12">
        <v>24</v>
      </c>
      <c r="D41" s="8">
        <v>1.31</v>
      </c>
      <c r="E41" s="12">
        <v>18</v>
      </c>
      <c r="F41" s="8">
        <v>1.67</v>
      </c>
      <c r="G41" s="12">
        <v>6</v>
      </c>
      <c r="H41" s="8">
        <v>0.8</v>
      </c>
      <c r="I41" s="12">
        <v>0</v>
      </c>
    </row>
    <row r="42" spans="2:9" ht="15" customHeight="1" x14ac:dyDescent="0.2">
      <c r="B42" t="s">
        <v>118</v>
      </c>
      <c r="C42" s="12">
        <v>23</v>
      </c>
      <c r="D42" s="8">
        <v>1.25</v>
      </c>
      <c r="E42" s="12">
        <v>6</v>
      </c>
      <c r="F42" s="8">
        <v>0.56000000000000005</v>
      </c>
      <c r="G42" s="12">
        <v>17</v>
      </c>
      <c r="H42" s="8">
        <v>2.27</v>
      </c>
      <c r="I42" s="12">
        <v>0</v>
      </c>
    </row>
    <row r="43" spans="2:9" ht="15" customHeight="1" x14ac:dyDescent="0.2">
      <c r="B43" t="s">
        <v>101</v>
      </c>
      <c r="C43" s="12">
        <v>20</v>
      </c>
      <c r="D43" s="8">
        <v>1.0900000000000001</v>
      </c>
      <c r="E43" s="12">
        <v>7</v>
      </c>
      <c r="F43" s="8">
        <v>0.65</v>
      </c>
      <c r="G43" s="12">
        <v>13</v>
      </c>
      <c r="H43" s="8">
        <v>1.73</v>
      </c>
      <c r="I43" s="12">
        <v>0</v>
      </c>
    </row>
    <row r="44" spans="2:9" ht="15" customHeight="1" x14ac:dyDescent="0.2">
      <c r="B44" t="s">
        <v>103</v>
      </c>
      <c r="C44" s="12">
        <v>20</v>
      </c>
      <c r="D44" s="8">
        <v>1.0900000000000001</v>
      </c>
      <c r="E44" s="12">
        <v>4</v>
      </c>
      <c r="F44" s="8">
        <v>0.37</v>
      </c>
      <c r="G44" s="12">
        <v>16</v>
      </c>
      <c r="H44" s="8">
        <v>2.13</v>
      </c>
      <c r="I44" s="12">
        <v>0</v>
      </c>
    </row>
    <row r="47" spans="2:9" ht="33" customHeight="1" x14ac:dyDescent="0.2">
      <c r="B47" t="s">
        <v>273</v>
      </c>
      <c r="C47" s="10" t="s">
        <v>91</v>
      </c>
      <c r="D47" s="10" t="s">
        <v>92</v>
      </c>
      <c r="E47" s="10" t="s">
        <v>93</v>
      </c>
      <c r="F47" s="10" t="s">
        <v>94</v>
      </c>
      <c r="G47" s="10" t="s">
        <v>95</v>
      </c>
      <c r="H47" s="10" t="s">
        <v>96</v>
      </c>
      <c r="I47" s="10" t="s">
        <v>97</v>
      </c>
    </row>
    <row r="48" spans="2:9" ht="15" customHeight="1" x14ac:dyDescent="0.2">
      <c r="B48" t="s">
        <v>160</v>
      </c>
      <c r="C48" s="12">
        <v>134</v>
      </c>
      <c r="D48" s="8">
        <v>7.3</v>
      </c>
      <c r="E48" s="12">
        <v>79</v>
      </c>
      <c r="F48" s="8">
        <v>7.31</v>
      </c>
      <c r="G48" s="12">
        <v>55</v>
      </c>
      <c r="H48" s="8">
        <v>7.33</v>
      </c>
      <c r="I48" s="12">
        <v>0</v>
      </c>
    </row>
    <row r="49" spans="2:9" ht="15" customHeight="1" x14ac:dyDescent="0.2">
      <c r="B49" t="s">
        <v>159</v>
      </c>
      <c r="C49" s="12">
        <v>75</v>
      </c>
      <c r="D49" s="8">
        <v>4.09</v>
      </c>
      <c r="E49" s="12">
        <v>19</v>
      </c>
      <c r="F49" s="8">
        <v>1.76</v>
      </c>
      <c r="G49" s="12">
        <v>56</v>
      </c>
      <c r="H49" s="8">
        <v>7.47</v>
      </c>
      <c r="I49" s="12">
        <v>0</v>
      </c>
    </row>
    <row r="50" spans="2:9" ht="15" customHeight="1" x14ac:dyDescent="0.2">
      <c r="B50" t="s">
        <v>161</v>
      </c>
      <c r="C50" s="12">
        <v>73</v>
      </c>
      <c r="D50" s="8">
        <v>3.98</v>
      </c>
      <c r="E50" s="12">
        <v>67</v>
      </c>
      <c r="F50" s="8">
        <v>6.2</v>
      </c>
      <c r="G50" s="12">
        <v>6</v>
      </c>
      <c r="H50" s="8">
        <v>0.8</v>
      </c>
      <c r="I50" s="12">
        <v>0</v>
      </c>
    </row>
    <row r="51" spans="2:9" ht="15" customHeight="1" x14ac:dyDescent="0.2">
      <c r="B51" t="s">
        <v>169</v>
      </c>
      <c r="C51" s="12">
        <v>67</v>
      </c>
      <c r="D51" s="8">
        <v>3.65</v>
      </c>
      <c r="E51" s="12">
        <v>57</v>
      </c>
      <c r="F51" s="8">
        <v>5.28</v>
      </c>
      <c r="G51" s="12">
        <v>10</v>
      </c>
      <c r="H51" s="8">
        <v>1.33</v>
      </c>
      <c r="I51" s="12">
        <v>0</v>
      </c>
    </row>
    <row r="52" spans="2:9" ht="15" customHeight="1" x14ac:dyDescent="0.2">
      <c r="B52" t="s">
        <v>165</v>
      </c>
      <c r="C52" s="12">
        <v>66</v>
      </c>
      <c r="D52" s="8">
        <v>3.6</v>
      </c>
      <c r="E52" s="12">
        <v>64</v>
      </c>
      <c r="F52" s="8">
        <v>5.93</v>
      </c>
      <c r="G52" s="12">
        <v>2</v>
      </c>
      <c r="H52" s="8">
        <v>0.27</v>
      </c>
      <c r="I52" s="12">
        <v>0</v>
      </c>
    </row>
    <row r="53" spans="2:9" ht="15" customHeight="1" x14ac:dyDescent="0.2">
      <c r="B53" t="s">
        <v>166</v>
      </c>
      <c r="C53" s="12">
        <v>50</v>
      </c>
      <c r="D53" s="8">
        <v>2.72</v>
      </c>
      <c r="E53" s="12">
        <v>50</v>
      </c>
      <c r="F53" s="8">
        <v>4.63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170</v>
      </c>
      <c r="C54" s="12">
        <v>46</v>
      </c>
      <c r="D54" s="8">
        <v>2.5099999999999998</v>
      </c>
      <c r="E54" s="12">
        <v>37</v>
      </c>
      <c r="F54" s="8">
        <v>3.43</v>
      </c>
      <c r="G54" s="12">
        <v>9</v>
      </c>
      <c r="H54" s="8">
        <v>1.2</v>
      </c>
      <c r="I54" s="12">
        <v>0</v>
      </c>
    </row>
    <row r="55" spans="2:9" ht="15" customHeight="1" x14ac:dyDescent="0.2">
      <c r="B55" t="s">
        <v>171</v>
      </c>
      <c r="C55" s="12">
        <v>46</v>
      </c>
      <c r="D55" s="8">
        <v>2.5099999999999998</v>
      </c>
      <c r="E55" s="12">
        <v>42</v>
      </c>
      <c r="F55" s="8">
        <v>3.89</v>
      </c>
      <c r="G55" s="12">
        <v>4</v>
      </c>
      <c r="H55" s="8">
        <v>0.53</v>
      </c>
      <c r="I55" s="12">
        <v>0</v>
      </c>
    </row>
    <row r="56" spans="2:9" ht="15" customHeight="1" x14ac:dyDescent="0.2">
      <c r="B56" t="s">
        <v>229</v>
      </c>
      <c r="C56" s="12">
        <v>44</v>
      </c>
      <c r="D56" s="8">
        <v>2.4</v>
      </c>
      <c r="E56" s="12">
        <v>25</v>
      </c>
      <c r="F56" s="8">
        <v>2.31</v>
      </c>
      <c r="G56" s="12">
        <v>19</v>
      </c>
      <c r="H56" s="8">
        <v>2.5299999999999998</v>
      </c>
      <c r="I56" s="12">
        <v>0</v>
      </c>
    </row>
    <row r="57" spans="2:9" ht="15" customHeight="1" x14ac:dyDescent="0.2">
      <c r="B57" t="s">
        <v>167</v>
      </c>
      <c r="C57" s="12">
        <v>44</v>
      </c>
      <c r="D57" s="8">
        <v>2.4</v>
      </c>
      <c r="E57" s="12">
        <v>44</v>
      </c>
      <c r="F57" s="8">
        <v>4.07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168</v>
      </c>
      <c r="C58" s="12">
        <v>43</v>
      </c>
      <c r="D58" s="8">
        <v>2.34</v>
      </c>
      <c r="E58" s="12">
        <v>43</v>
      </c>
      <c r="F58" s="8">
        <v>3.98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205</v>
      </c>
      <c r="C59" s="12">
        <v>37</v>
      </c>
      <c r="D59" s="8">
        <v>2.02</v>
      </c>
      <c r="E59" s="12">
        <v>25</v>
      </c>
      <c r="F59" s="8">
        <v>2.31</v>
      </c>
      <c r="G59" s="12">
        <v>12</v>
      </c>
      <c r="H59" s="8">
        <v>1.6</v>
      </c>
      <c r="I59" s="12">
        <v>0</v>
      </c>
    </row>
    <row r="60" spans="2:9" ht="15" customHeight="1" x14ac:dyDescent="0.2">
      <c r="B60" t="s">
        <v>164</v>
      </c>
      <c r="C60" s="12">
        <v>36</v>
      </c>
      <c r="D60" s="8">
        <v>1.96</v>
      </c>
      <c r="E60" s="12">
        <v>29</v>
      </c>
      <c r="F60" s="8">
        <v>2.69</v>
      </c>
      <c r="G60" s="12">
        <v>7</v>
      </c>
      <c r="H60" s="8">
        <v>0.93</v>
      </c>
      <c r="I60" s="12">
        <v>0</v>
      </c>
    </row>
    <row r="61" spans="2:9" ht="15" customHeight="1" x14ac:dyDescent="0.2">
      <c r="B61" t="s">
        <v>157</v>
      </c>
      <c r="C61" s="12">
        <v>34</v>
      </c>
      <c r="D61" s="8">
        <v>1.85</v>
      </c>
      <c r="E61" s="12">
        <v>29</v>
      </c>
      <c r="F61" s="8">
        <v>2.69</v>
      </c>
      <c r="G61" s="12">
        <v>5</v>
      </c>
      <c r="H61" s="8">
        <v>0.67</v>
      </c>
      <c r="I61" s="12">
        <v>0</v>
      </c>
    </row>
    <row r="62" spans="2:9" ht="15" customHeight="1" x14ac:dyDescent="0.2">
      <c r="B62" t="s">
        <v>162</v>
      </c>
      <c r="C62" s="12">
        <v>30</v>
      </c>
      <c r="D62" s="8">
        <v>1.63</v>
      </c>
      <c r="E62" s="12">
        <v>1</v>
      </c>
      <c r="F62" s="8">
        <v>0.09</v>
      </c>
      <c r="G62" s="12">
        <v>28</v>
      </c>
      <c r="H62" s="8">
        <v>3.73</v>
      </c>
      <c r="I62" s="12">
        <v>1</v>
      </c>
    </row>
    <row r="63" spans="2:9" ht="15" customHeight="1" x14ac:dyDescent="0.2">
      <c r="B63" t="s">
        <v>173</v>
      </c>
      <c r="C63" s="12">
        <v>29</v>
      </c>
      <c r="D63" s="8">
        <v>1.58</v>
      </c>
      <c r="E63" s="12">
        <v>11</v>
      </c>
      <c r="F63" s="8">
        <v>1.02</v>
      </c>
      <c r="G63" s="12">
        <v>18</v>
      </c>
      <c r="H63" s="8">
        <v>2.4</v>
      </c>
      <c r="I63" s="12">
        <v>0</v>
      </c>
    </row>
    <row r="64" spans="2:9" ht="15" customHeight="1" x14ac:dyDescent="0.2">
      <c r="B64" t="s">
        <v>153</v>
      </c>
      <c r="C64" s="12">
        <v>25</v>
      </c>
      <c r="D64" s="8">
        <v>1.36</v>
      </c>
      <c r="E64" s="12">
        <v>6</v>
      </c>
      <c r="F64" s="8">
        <v>0.56000000000000005</v>
      </c>
      <c r="G64" s="12">
        <v>19</v>
      </c>
      <c r="H64" s="8">
        <v>2.5299999999999998</v>
      </c>
      <c r="I64" s="12">
        <v>0</v>
      </c>
    </row>
    <row r="65" spans="2:9" ht="15" customHeight="1" x14ac:dyDescent="0.2">
      <c r="B65" t="s">
        <v>190</v>
      </c>
      <c r="C65" s="12">
        <v>24</v>
      </c>
      <c r="D65" s="8">
        <v>1.31</v>
      </c>
      <c r="E65" s="12">
        <v>5</v>
      </c>
      <c r="F65" s="8">
        <v>0.46</v>
      </c>
      <c r="G65" s="12">
        <v>19</v>
      </c>
      <c r="H65" s="8">
        <v>2.5299999999999998</v>
      </c>
      <c r="I65" s="12">
        <v>0</v>
      </c>
    </row>
    <row r="66" spans="2:9" ht="15" customHeight="1" x14ac:dyDescent="0.2">
      <c r="B66" t="s">
        <v>198</v>
      </c>
      <c r="C66" s="12">
        <v>24</v>
      </c>
      <c r="D66" s="8">
        <v>1.31</v>
      </c>
      <c r="E66" s="12">
        <v>18</v>
      </c>
      <c r="F66" s="8">
        <v>1.67</v>
      </c>
      <c r="G66" s="12">
        <v>6</v>
      </c>
      <c r="H66" s="8">
        <v>0.8</v>
      </c>
      <c r="I66" s="12">
        <v>0</v>
      </c>
    </row>
    <row r="67" spans="2:9" ht="15" customHeight="1" x14ac:dyDescent="0.2">
      <c r="B67" t="s">
        <v>176</v>
      </c>
      <c r="C67" s="12">
        <v>23</v>
      </c>
      <c r="D67" s="8">
        <v>1.25</v>
      </c>
      <c r="E67" s="12">
        <v>11</v>
      </c>
      <c r="F67" s="8">
        <v>1.02</v>
      </c>
      <c r="G67" s="12">
        <v>12</v>
      </c>
      <c r="H67" s="8">
        <v>1.6</v>
      </c>
      <c r="I67" s="12">
        <v>0</v>
      </c>
    </row>
    <row r="69" spans="2:9" ht="15" customHeight="1" x14ac:dyDescent="0.2">
      <c r="B69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FF911-0972-480E-B417-C6BCCA934C3B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313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664</v>
      </c>
      <c r="D6" s="8">
        <v>12.62</v>
      </c>
      <c r="E6" s="12">
        <v>112</v>
      </c>
      <c r="F6" s="8">
        <v>4.43</v>
      </c>
      <c r="G6" s="12">
        <v>552</v>
      </c>
      <c r="H6" s="8">
        <v>20.49</v>
      </c>
      <c r="I6" s="12">
        <v>0</v>
      </c>
    </row>
    <row r="7" spans="2:9" ht="15" customHeight="1" x14ac:dyDescent="0.2">
      <c r="B7" t="s">
        <v>77</v>
      </c>
      <c r="C7" s="12">
        <v>243</v>
      </c>
      <c r="D7" s="8">
        <v>4.62</v>
      </c>
      <c r="E7" s="12">
        <v>61</v>
      </c>
      <c r="F7" s="8">
        <v>2.41</v>
      </c>
      <c r="G7" s="12">
        <v>182</v>
      </c>
      <c r="H7" s="8">
        <v>6.76</v>
      </c>
      <c r="I7" s="12">
        <v>0</v>
      </c>
    </row>
    <row r="8" spans="2:9" ht="15" customHeight="1" x14ac:dyDescent="0.2">
      <c r="B8" t="s">
        <v>78</v>
      </c>
      <c r="C8" s="12">
        <v>5</v>
      </c>
      <c r="D8" s="8">
        <v>0.1</v>
      </c>
      <c r="E8" s="12">
        <v>0</v>
      </c>
      <c r="F8" s="8">
        <v>0</v>
      </c>
      <c r="G8" s="12">
        <v>5</v>
      </c>
      <c r="H8" s="8">
        <v>0.19</v>
      </c>
      <c r="I8" s="12">
        <v>0</v>
      </c>
    </row>
    <row r="9" spans="2:9" ht="15" customHeight="1" x14ac:dyDescent="0.2">
      <c r="B9" t="s">
        <v>79</v>
      </c>
      <c r="C9" s="12">
        <v>49</v>
      </c>
      <c r="D9" s="8">
        <v>0.93</v>
      </c>
      <c r="E9" s="12">
        <v>2</v>
      </c>
      <c r="F9" s="8">
        <v>0.08</v>
      </c>
      <c r="G9" s="12">
        <v>47</v>
      </c>
      <c r="H9" s="8">
        <v>1.74</v>
      </c>
      <c r="I9" s="12">
        <v>0</v>
      </c>
    </row>
    <row r="10" spans="2:9" ht="15" customHeight="1" x14ac:dyDescent="0.2">
      <c r="B10" t="s">
        <v>80</v>
      </c>
      <c r="C10" s="12">
        <v>67</v>
      </c>
      <c r="D10" s="8">
        <v>1.27</v>
      </c>
      <c r="E10" s="12">
        <v>16</v>
      </c>
      <c r="F10" s="8">
        <v>0.63</v>
      </c>
      <c r="G10" s="12">
        <v>51</v>
      </c>
      <c r="H10" s="8">
        <v>1.89</v>
      </c>
      <c r="I10" s="12">
        <v>0</v>
      </c>
    </row>
    <row r="11" spans="2:9" ht="15" customHeight="1" x14ac:dyDescent="0.2">
      <c r="B11" t="s">
        <v>81</v>
      </c>
      <c r="C11" s="12">
        <v>1064</v>
      </c>
      <c r="D11" s="8">
        <v>20.23</v>
      </c>
      <c r="E11" s="12">
        <v>503</v>
      </c>
      <c r="F11" s="8">
        <v>19.88</v>
      </c>
      <c r="G11" s="12">
        <v>561</v>
      </c>
      <c r="H11" s="8">
        <v>20.82</v>
      </c>
      <c r="I11" s="12">
        <v>0</v>
      </c>
    </row>
    <row r="12" spans="2:9" ht="15" customHeight="1" x14ac:dyDescent="0.2">
      <c r="B12" t="s">
        <v>82</v>
      </c>
      <c r="C12" s="12">
        <v>33</v>
      </c>
      <c r="D12" s="8">
        <v>0.63</v>
      </c>
      <c r="E12" s="12">
        <v>3</v>
      </c>
      <c r="F12" s="8">
        <v>0.12</v>
      </c>
      <c r="G12" s="12">
        <v>30</v>
      </c>
      <c r="H12" s="8">
        <v>1.1100000000000001</v>
      </c>
      <c r="I12" s="12">
        <v>0</v>
      </c>
    </row>
    <row r="13" spans="2:9" ht="15" customHeight="1" x14ac:dyDescent="0.2">
      <c r="B13" t="s">
        <v>83</v>
      </c>
      <c r="C13" s="12">
        <v>685</v>
      </c>
      <c r="D13" s="8">
        <v>13.02</v>
      </c>
      <c r="E13" s="12">
        <v>155</v>
      </c>
      <c r="F13" s="8">
        <v>6.13</v>
      </c>
      <c r="G13" s="12">
        <v>529</v>
      </c>
      <c r="H13" s="8">
        <v>19.64</v>
      </c>
      <c r="I13" s="12">
        <v>1</v>
      </c>
    </row>
    <row r="14" spans="2:9" ht="15" customHeight="1" x14ac:dyDescent="0.2">
      <c r="B14" t="s">
        <v>84</v>
      </c>
      <c r="C14" s="12">
        <v>295</v>
      </c>
      <c r="D14" s="8">
        <v>5.61</v>
      </c>
      <c r="E14" s="12">
        <v>136</v>
      </c>
      <c r="F14" s="8">
        <v>5.38</v>
      </c>
      <c r="G14" s="12">
        <v>158</v>
      </c>
      <c r="H14" s="8">
        <v>5.86</v>
      </c>
      <c r="I14" s="12">
        <v>0</v>
      </c>
    </row>
    <row r="15" spans="2:9" ht="15" customHeight="1" x14ac:dyDescent="0.2">
      <c r="B15" t="s">
        <v>85</v>
      </c>
      <c r="C15" s="12">
        <v>633</v>
      </c>
      <c r="D15" s="8">
        <v>12.03</v>
      </c>
      <c r="E15" s="12">
        <v>528</v>
      </c>
      <c r="F15" s="8">
        <v>20.87</v>
      </c>
      <c r="G15" s="12">
        <v>102</v>
      </c>
      <c r="H15" s="8">
        <v>3.79</v>
      </c>
      <c r="I15" s="12">
        <v>2</v>
      </c>
    </row>
    <row r="16" spans="2:9" ht="15" customHeight="1" x14ac:dyDescent="0.2">
      <c r="B16" t="s">
        <v>86</v>
      </c>
      <c r="C16" s="12">
        <v>761</v>
      </c>
      <c r="D16" s="8">
        <v>14.47</v>
      </c>
      <c r="E16" s="12">
        <v>587</v>
      </c>
      <c r="F16" s="8">
        <v>23.2</v>
      </c>
      <c r="G16" s="12">
        <v>172</v>
      </c>
      <c r="H16" s="8">
        <v>6.38</v>
      </c>
      <c r="I16" s="12">
        <v>1</v>
      </c>
    </row>
    <row r="17" spans="2:9" ht="15" customHeight="1" x14ac:dyDescent="0.2">
      <c r="B17" t="s">
        <v>87</v>
      </c>
      <c r="C17" s="12">
        <v>250</v>
      </c>
      <c r="D17" s="8">
        <v>4.75</v>
      </c>
      <c r="E17" s="12">
        <v>165</v>
      </c>
      <c r="F17" s="8">
        <v>6.52</v>
      </c>
      <c r="G17" s="12">
        <v>70</v>
      </c>
      <c r="H17" s="8">
        <v>2.6</v>
      </c>
      <c r="I17" s="12">
        <v>1</v>
      </c>
    </row>
    <row r="18" spans="2:9" ht="15" customHeight="1" x14ac:dyDescent="0.2">
      <c r="B18" t="s">
        <v>88</v>
      </c>
      <c r="C18" s="12">
        <v>366</v>
      </c>
      <c r="D18" s="8">
        <v>6.96</v>
      </c>
      <c r="E18" s="12">
        <v>220</v>
      </c>
      <c r="F18" s="8">
        <v>8.6999999999999993</v>
      </c>
      <c r="G18" s="12">
        <v>135</v>
      </c>
      <c r="H18" s="8">
        <v>5.01</v>
      </c>
      <c r="I18" s="12">
        <v>2</v>
      </c>
    </row>
    <row r="19" spans="2:9" ht="15" customHeight="1" x14ac:dyDescent="0.2">
      <c r="B19" t="s">
        <v>89</v>
      </c>
      <c r="C19" s="12">
        <v>145</v>
      </c>
      <c r="D19" s="8">
        <v>2.76</v>
      </c>
      <c r="E19" s="12">
        <v>42</v>
      </c>
      <c r="F19" s="8">
        <v>1.66</v>
      </c>
      <c r="G19" s="12">
        <v>100</v>
      </c>
      <c r="H19" s="8">
        <v>3.71</v>
      </c>
      <c r="I19" s="12">
        <v>1</v>
      </c>
    </row>
    <row r="20" spans="2:9" ht="15" customHeight="1" x14ac:dyDescent="0.2">
      <c r="B20" s="9" t="s">
        <v>271</v>
      </c>
      <c r="C20" s="12">
        <f>SUM(LTBL_27207[総数／事業所数])</f>
        <v>5260</v>
      </c>
      <c r="E20" s="12">
        <f>SUBTOTAL(109,LTBL_27207[個人／事業所数])</f>
        <v>2530</v>
      </c>
      <c r="G20" s="12">
        <f>SUBTOTAL(109,LTBL_27207[法人／事業所数])</f>
        <v>2694</v>
      </c>
      <c r="I20" s="12">
        <f>SUBTOTAL(109,LTBL_27207[法人以外の団体／事業所数])</f>
        <v>8</v>
      </c>
    </row>
    <row r="21" spans="2:9" ht="15" customHeight="1" x14ac:dyDescent="0.2">
      <c r="E21" s="11">
        <f>LTBL_27207[[#Totals],[個人／事業所数]]/LTBL_27207[[#Totals],[総数／事業所数]]</f>
        <v>0.48098859315589354</v>
      </c>
      <c r="G21" s="11">
        <f>LTBL_27207[[#Totals],[法人／事業所数]]/LTBL_27207[[#Totals],[総数／事業所数]]</f>
        <v>0.51216730038022817</v>
      </c>
      <c r="I21" s="11">
        <f>LTBL_27207[[#Totals],[法人以外の団体／事業所数]]/LTBL_27207[[#Totals],[総数／事業所数]]</f>
        <v>1.520912547528517E-3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114</v>
      </c>
      <c r="C24" s="12">
        <v>608</v>
      </c>
      <c r="D24" s="8">
        <v>11.56</v>
      </c>
      <c r="E24" s="12">
        <v>514</v>
      </c>
      <c r="F24" s="8">
        <v>20.32</v>
      </c>
      <c r="G24" s="12">
        <v>94</v>
      </c>
      <c r="H24" s="8">
        <v>3.49</v>
      </c>
      <c r="I24" s="12">
        <v>0</v>
      </c>
    </row>
    <row r="25" spans="2:9" ht="15" customHeight="1" x14ac:dyDescent="0.2">
      <c r="B25" t="s">
        <v>113</v>
      </c>
      <c r="C25" s="12">
        <v>588</v>
      </c>
      <c r="D25" s="8">
        <v>11.18</v>
      </c>
      <c r="E25" s="12">
        <v>513</v>
      </c>
      <c r="F25" s="8">
        <v>20.28</v>
      </c>
      <c r="G25" s="12">
        <v>73</v>
      </c>
      <c r="H25" s="8">
        <v>2.71</v>
      </c>
      <c r="I25" s="12">
        <v>2</v>
      </c>
    </row>
    <row r="26" spans="2:9" ht="15" customHeight="1" x14ac:dyDescent="0.2">
      <c r="B26" t="s">
        <v>110</v>
      </c>
      <c r="C26" s="12">
        <v>558</v>
      </c>
      <c r="D26" s="8">
        <v>10.61</v>
      </c>
      <c r="E26" s="12">
        <v>134</v>
      </c>
      <c r="F26" s="8">
        <v>5.3</v>
      </c>
      <c r="G26" s="12">
        <v>423</v>
      </c>
      <c r="H26" s="8">
        <v>15.7</v>
      </c>
      <c r="I26" s="12">
        <v>1</v>
      </c>
    </row>
    <row r="27" spans="2:9" ht="15" customHeight="1" x14ac:dyDescent="0.2">
      <c r="B27" t="s">
        <v>98</v>
      </c>
      <c r="C27" s="12">
        <v>309</v>
      </c>
      <c r="D27" s="8">
        <v>5.87</v>
      </c>
      <c r="E27" s="12">
        <v>51</v>
      </c>
      <c r="F27" s="8">
        <v>2.02</v>
      </c>
      <c r="G27" s="12">
        <v>258</v>
      </c>
      <c r="H27" s="8">
        <v>9.58</v>
      </c>
      <c r="I27" s="12">
        <v>0</v>
      </c>
    </row>
    <row r="28" spans="2:9" ht="15" customHeight="1" x14ac:dyDescent="0.2">
      <c r="B28" t="s">
        <v>108</v>
      </c>
      <c r="C28" s="12">
        <v>277</v>
      </c>
      <c r="D28" s="8">
        <v>5.27</v>
      </c>
      <c r="E28" s="12">
        <v>156</v>
      </c>
      <c r="F28" s="8">
        <v>6.17</v>
      </c>
      <c r="G28" s="12">
        <v>121</v>
      </c>
      <c r="H28" s="8">
        <v>4.49</v>
      </c>
      <c r="I28" s="12">
        <v>0</v>
      </c>
    </row>
    <row r="29" spans="2:9" ht="15" customHeight="1" x14ac:dyDescent="0.2">
      <c r="B29" t="s">
        <v>116</v>
      </c>
      <c r="C29" s="12">
        <v>268</v>
      </c>
      <c r="D29" s="8">
        <v>5.0999999999999996</v>
      </c>
      <c r="E29" s="12">
        <v>219</v>
      </c>
      <c r="F29" s="8">
        <v>8.66</v>
      </c>
      <c r="G29" s="12">
        <v>49</v>
      </c>
      <c r="H29" s="8">
        <v>1.82</v>
      </c>
      <c r="I29" s="12">
        <v>0</v>
      </c>
    </row>
    <row r="30" spans="2:9" ht="15" customHeight="1" x14ac:dyDescent="0.2">
      <c r="B30" t="s">
        <v>115</v>
      </c>
      <c r="C30" s="12">
        <v>250</v>
      </c>
      <c r="D30" s="8">
        <v>4.75</v>
      </c>
      <c r="E30" s="12">
        <v>165</v>
      </c>
      <c r="F30" s="8">
        <v>6.52</v>
      </c>
      <c r="G30" s="12">
        <v>70</v>
      </c>
      <c r="H30" s="8">
        <v>2.6</v>
      </c>
      <c r="I30" s="12">
        <v>1</v>
      </c>
    </row>
    <row r="31" spans="2:9" ht="15" customHeight="1" x14ac:dyDescent="0.2">
      <c r="B31" t="s">
        <v>106</v>
      </c>
      <c r="C31" s="12">
        <v>209</v>
      </c>
      <c r="D31" s="8">
        <v>3.97</v>
      </c>
      <c r="E31" s="12">
        <v>130</v>
      </c>
      <c r="F31" s="8">
        <v>5.14</v>
      </c>
      <c r="G31" s="12">
        <v>79</v>
      </c>
      <c r="H31" s="8">
        <v>2.93</v>
      </c>
      <c r="I31" s="12">
        <v>0</v>
      </c>
    </row>
    <row r="32" spans="2:9" ht="15" customHeight="1" x14ac:dyDescent="0.2">
      <c r="B32" t="s">
        <v>111</v>
      </c>
      <c r="C32" s="12">
        <v>190</v>
      </c>
      <c r="D32" s="8">
        <v>3.61</v>
      </c>
      <c r="E32" s="12">
        <v>99</v>
      </c>
      <c r="F32" s="8">
        <v>3.91</v>
      </c>
      <c r="G32" s="12">
        <v>91</v>
      </c>
      <c r="H32" s="8">
        <v>3.38</v>
      </c>
      <c r="I32" s="12">
        <v>0</v>
      </c>
    </row>
    <row r="33" spans="2:9" ht="15" customHeight="1" x14ac:dyDescent="0.2">
      <c r="B33" t="s">
        <v>99</v>
      </c>
      <c r="C33" s="12">
        <v>186</v>
      </c>
      <c r="D33" s="8">
        <v>3.54</v>
      </c>
      <c r="E33" s="12">
        <v>42</v>
      </c>
      <c r="F33" s="8">
        <v>1.66</v>
      </c>
      <c r="G33" s="12">
        <v>144</v>
      </c>
      <c r="H33" s="8">
        <v>5.35</v>
      </c>
      <c r="I33" s="12">
        <v>0</v>
      </c>
    </row>
    <row r="34" spans="2:9" ht="15" customHeight="1" x14ac:dyDescent="0.2">
      <c r="B34" t="s">
        <v>107</v>
      </c>
      <c r="C34" s="12">
        <v>178</v>
      </c>
      <c r="D34" s="8">
        <v>3.38</v>
      </c>
      <c r="E34" s="12">
        <v>118</v>
      </c>
      <c r="F34" s="8">
        <v>4.66</v>
      </c>
      <c r="G34" s="12">
        <v>60</v>
      </c>
      <c r="H34" s="8">
        <v>2.23</v>
      </c>
      <c r="I34" s="12">
        <v>0</v>
      </c>
    </row>
    <row r="35" spans="2:9" ht="15" customHeight="1" x14ac:dyDescent="0.2">
      <c r="B35" t="s">
        <v>100</v>
      </c>
      <c r="C35" s="12">
        <v>169</v>
      </c>
      <c r="D35" s="8">
        <v>3.21</v>
      </c>
      <c r="E35" s="12">
        <v>19</v>
      </c>
      <c r="F35" s="8">
        <v>0.75</v>
      </c>
      <c r="G35" s="12">
        <v>150</v>
      </c>
      <c r="H35" s="8">
        <v>5.57</v>
      </c>
      <c r="I35" s="12">
        <v>0</v>
      </c>
    </row>
    <row r="36" spans="2:9" ht="15" customHeight="1" x14ac:dyDescent="0.2">
      <c r="B36" t="s">
        <v>105</v>
      </c>
      <c r="C36" s="12">
        <v>121</v>
      </c>
      <c r="D36" s="8">
        <v>2.2999999999999998</v>
      </c>
      <c r="E36" s="12">
        <v>53</v>
      </c>
      <c r="F36" s="8">
        <v>2.09</v>
      </c>
      <c r="G36" s="12">
        <v>68</v>
      </c>
      <c r="H36" s="8">
        <v>2.52</v>
      </c>
      <c r="I36" s="12">
        <v>0</v>
      </c>
    </row>
    <row r="37" spans="2:9" ht="15" customHeight="1" x14ac:dyDescent="0.2">
      <c r="B37" t="s">
        <v>130</v>
      </c>
      <c r="C37" s="12">
        <v>115</v>
      </c>
      <c r="D37" s="8">
        <v>2.19</v>
      </c>
      <c r="E37" s="12">
        <v>53</v>
      </c>
      <c r="F37" s="8">
        <v>2.09</v>
      </c>
      <c r="G37" s="12">
        <v>61</v>
      </c>
      <c r="H37" s="8">
        <v>2.2599999999999998</v>
      </c>
      <c r="I37" s="12">
        <v>0</v>
      </c>
    </row>
    <row r="38" spans="2:9" ht="15" customHeight="1" x14ac:dyDescent="0.2">
      <c r="B38" t="s">
        <v>109</v>
      </c>
      <c r="C38" s="12">
        <v>106</v>
      </c>
      <c r="D38" s="8">
        <v>2.02</v>
      </c>
      <c r="E38" s="12">
        <v>20</v>
      </c>
      <c r="F38" s="8">
        <v>0.79</v>
      </c>
      <c r="G38" s="12">
        <v>86</v>
      </c>
      <c r="H38" s="8">
        <v>3.19</v>
      </c>
      <c r="I38" s="12">
        <v>0</v>
      </c>
    </row>
    <row r="39" spans="2:9" ht="15" customHeight="1" x14ac:dyDescent="0.2">
      <c r="B39" t="s">
        <v>117</v>
      </c>
      <c r="C39" s="12">
        <v>98</v>
      </c>
      <c r="D39" s="8">
        <v>1.86</v>
      </c>
      <c r="E39" s="12">
        <v>1</v>
      </c>
      <c r="F39" s="8">
        <v>0.04</v>
      </c>
      <c r="G39" s="12">
        <v>86</v>
      </c>
      <c r="H39" s="8">
        <v>3.19</v>
      </c>
      <c r="I39" s="12">
        <v>2</v>
      </c>
    </row>
    <row r="40" spans="2:9" ht="15" customHeight="1" x14ac:dyDescent="0.2">
      <c r="B40" t="s">
        <v>112</v>
      </c>
      <c r="C40" s="12">
        <v>95</v>
      </c>
      <c r="D40" s="8">
        <v>1.81</v>
      </c>
      <c r="E40" s="12">
        <v>37</v>
      </c>
      <c r="F40" s="8">
        <v>1.46</v>
      </c>
      <c r="G40" s="12">
        <v>57</v>
      </c>
      <c r="H40" s="8">
        <v>2.12</v>
      </c>
      <c r="I40" s="12">
        <v>0</v>
      </c>
    </row>
    <row r="41" spans="2:9" ht="15" customHeight="1" x14ac:dyDescent="0.2">
      <c r="B41" t="s">
        <v>103</v>
      </c>
      <c r="C41" s="12">
        <v>62</v>
      </c>
      <c r="D41" s="8">
        <v>1.18</v>
      </c>
      <c r="E41" s="12">
        <v>3</v>
      </c>
      <c r="F41" s="8">
        <v>0.12</v>
      </c>
      <c r="G41" s="12">
        <v>59</v>
      </c>
      <c r="H41" s="8">
        <v>2.19</v>
      </c>
      <c r="I41" s="12">
        <v>0</v>
      </c>
    </row>
    <row r="42" spans="2:9" ht="15" customHeight="1" x14ac:dyDescent="0.2">
      <c r="B42" t="s">
        <v>102</v>
      </c>
      <c r="C42" s="12">
        <v>55</v>
      </c>
      <c r="D42" s="8">
        <v>1.05</v>
      </c>
      <c r="E42" s="12">
        <v>11</v>
      </c>
      <c r="F42" s="8">
        <v>0.43</v>
      </c>
      <c r="G42" s="12">
        <v>44</v>
      </c>
      <c r="H42" s="8">
        <v>1.63</v>
      </c>
      <c r="I42" s="12">
        <v>0</v>
      </c>
    </row>
    <row r="43" spans="2:9" ht="15" customHeight="1" x14ac:dyDescent="0.2">
      <c r="B43" t="s">
        <v>119</v>
      </c>
      <c r="C43" s="12">
        <v>55</v>
      </c>
      <c r="D43" s="8">
        <v>1.05</v>
      </c>
      <c r="E43" s="12">
        <v>5</v>
      </c>
      <c r="F43" s="8">
        <v>0.2</v>
      </c>
      <c r="G43" s="12">
        <v>49</v>
      </c>
      <c r="H43" s="8">
        <v>1.82</v>
      </c>
      <c r="I43" s="12">
        <v>1</v>
      </c>
    </row>
    <row r="46" spans="2:9" ht="33" customHeight="1" x14ac:dyDescent="0.2">
      <c r="B46" t="s">
        <v>273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169</v>
      </c>
      <c r="C47" s="12">
        <v>322</v>
      </c>
      <c r="D47" s="8">
        <v>6.12</v>
      </c>
      <c r="E47" s="12">
        <v>295</v>
      </c>
      <c r="F47" s="8">
        <v>11.66</v>
      </c>
      <c r="G47" s="12">
        <v>27</v>
      </c>
      <c r="H47" s="8">
        <v>1</v>
      </c>
      <c r="I47" s="12">
        <v>0</v>
      </c>
    </row>
    <row r="48" spans="2:9" ht="15" customHeight="1" x14ac:dyDescent="0.2">
      <c r="B48" t="s">
        <v>160</v>
      </c>
      <c r="C48" s="12">
        <v>292</v>
      </c>
      <c r="D48" s="8">
        <v>5.55</v>
      </c>
      <c r="E48" s="12">
        <v>76</v>
      </c>
      <c r="F48" s="8">
        <v>3</v>
      </c>
      <c r="G48" s="12">
        <v>216</v>
      </c>
      <c r="H48" s="8">
        <v>8.02</v>
      </c>
      <c r="I48" s="12">
        <v>0</v>
      </c>
    </row>
    <row r="49" spans="2:9" ht="15" customHeight="1" x14ac:dyDescent="0.2">
      <c r="B49" t="s">
        <v>171</v>
      </c>
      <c r="C49" s="12">
        <v>211</v>
      </c>
      <c r="D49" s="8">
        <v>4.01</v>
      </c>
      <c r="E49" s="12">
        <v>174</v>
      </c>
      <c r="F49" s="8">
        <v>6.88</v>
      </c>
      <c r="G49" s="12">
        <v>37</v>
      </c>
      <c r="H49" s="8">
        <v>1.37</v>
      </c>
      <c r="I49" s="12">
        <v>0</v>
      </c>
    </row>
    <row r="50" spans="2:9" ht="15" customHeight="1" x14ac:dyDescent="0.2">
      <c r="B50" t="s">
        <v>170</v>
      </c>
      <c r="C50" s="12">
        <v>154</v>
      </c>
      <c r="D50" s="8">
        <v>2.93</v>
      </c>
      <c r="E50" s="12">
        <v>123</v>
      </c>
      <c r="F50" s="8">
        <v>4.8600000000000003</v>
      </c>
      <c r="G50" s="12">
        <v>31</v>
      </c>
      <c r="H50" s="8">
        <v>1.1499999999999999</v>
      </c>
      <c r="I50" s="12">
        <v>0</v>
      </c>
    </row>
    <row r="51" spans="2:9" ht="15" customHeight="1" x14ac:dyDescent="0.2">
      <c r="B51" t="s">
        <v>168</v>
      </c>
      <c r="C51" s="12">
        <v>150</v>
      </c>
      <c r="D51" s="8">
        <v>2.85</v>
      </c>
      <c r="E51" s="12">
        <v>143</v>
      </c>
      <c r="F51" s="8">
        <v>5.65</v>
      </c>
      <c r="G51" s="12">
        <v>7</v>
      </c>
      <c r="H51" s="8">
        <v>0.26</v>
      </c>
      <c r="I51" s="12">
        <v>0</v>
      </c>
    </row>
    <row r="52" spans="2:9" ht="15" customHeight="1" x14ac:dyDescent="0.2">
      <c r="B52" t="s">
        <v>165</v>
      </c>
      <c r="C52" s="12">
        <v>126</v>
      </c>
      <c r="D52" s="8">
        <v>2.4</v>
      </c>
      <c r="E52" s="12">
        <v>116</v>
      </c>
      <c r="F52" s="8">
        <v>4.58</v>
      </c>
      <c r="G52" s="12">
        <v>10</v>
      </c>
      <c r="H52" s="8">
        <v>0.37</v>
      </c>
      <c r="I52" s="12">
        <v>0</v>
      </c>
    </row>
    <row r="53" spans="2:9" ht="15" customHeight="1" x14ac:dyDescent="0.2">
      <c r="B53" t="s">
        <v>167</v>
      </c>
      <c r="C53" s="12">
        <v>126</v>
      </c>
      <c r="D53" s="8">
        <v>2.4</v>
      </c>
      <c r="E53" s="12">
        <v>116</v>
      </c>
      <c r="F53" s="8">
        <v>4.58</v>
      </c>
      <c r="G53" s="12">
        <v>8</v>
      </c>
      <c r="H53" s="8">
        <v>0.3</v>
      </c>
      <c r="I53" s="12">
        <v>2</v>
      </c>
    </row>
    <row r="54" spans="2:9" ht="15" customHeight="1" x14ac:dyDescent="0.2">
      <c r="B54" t="s">
        <v>164</v>
      </c>
      <c r="C54" s="12">
        <v>115</v>
      </c>
      <c r="D54" s="8">
        <v>2.19</v>
      </c>
      <c r="E54" s="12">
        <v>95</v>
      </c>
      <c r="F54" s="8">
        <v>3.75</v>
      </c>
      <c r="G54" s="12">
        <v>20</v>
      </c>
      <c r="H54" s="8">
        <v>0.74</v>
      </c>
      <c r="I54" s="12">
        <v>0</v>
      </c>
    </row>
    <row r="55" spans="2:9" ht="15" customHeight="1" x14ac:dyDescent="0.2">
      <c r="B55" t="s">
        <v>157</v>
      </c>
      <c r="C55" s="12">
        <v>99</v>
      </c>
      <c r="D55" s="8">
        <v>1.88</v>
      </c>
      <c r="E55" s="12">
        <v>64</v>
      </c>
      <c r="F55" s="8">
        <v>2.5299999999999998</v>
      </c>
      <c r="G55" s="12">
        <v>35</v>
      </c>
      <c r="H55" s="8">
        <v>1.3</v>
      </c>
      <c r="I55" s="12">
        <v>0</v>
      </c>
    </row>
    <row r="56" spans="2:9" ht="15" customHeight="1" x14ac:dyDescent="0.2">
      <c r="B56" t="s">
        <v>162</v>
      </c>
      <c r="C56" s="12">
        <v>98</v>
      </c>
      <c r="D56" s="8">
        <v>1.86</v>
      </c>
      <c r="E56" s="12">
        <v>4</v>
      </c>
      <c r="F56" s="8">
        <v>0.16</v>
      </c>
      <c r="G56" s="12">
        <v>93</v>
      </c>
      <c r="H56" s="8">
        <v>3.45</v>
      </c>
      <c r="I56" s="12">
        <v>1</v>
      </c>
    </row>
    <row r="57" spans="2:9" ht="15" customHeight="1" x14ac:dyDescent="0.2">
      <c r="B57" t="s">
        <v>159</v>
      </c>
      <c r="C57" s="12">
        <v>97</v>
      </c>
      <c r="D57" s="8">
        <v>1.84</v>
      </c>
      <c r="E57" s="12">
        <v>7</v>
      </c>
      <c r="F57" s="8">
        <v>0.28000000000000003</v>
      </c>
      <c r="G57" s="12">
        <v>90</v>
      </c>
      <c r="H57" s="8">
        <v>3.34</v>
      </c>
      <c r="I57" s="12">
        <v>0</v>
      </c>
    </row>
    <row r="58" spans="2:9" ht="15" customHeight="1" x14ac:dyDescent="0.2">
      <c r="B58" t="s">
        <v>166</v>
      </c>
      <c r="C58" s="12">
        <v>90</v>
      </c>
      <c r="D58" s="8">
        <v>1.71</v>
      </c>
      <c r="E58" s="12">
        <v>85</v>
      </c>
      <c r="F58" s="8">
        <v>3.36</v>
      </c>
      <c r="G58" s="12">
        <v>5</v>
      </c>
      <c r="H58" s="8">
        <v>0.19</v>
      </c>
      <c r="I58" s="12">
        <v>0</v>
      </c>
    </row>
    <row r="59" spans="2:9" ht="15" customHeight="1" x14ac:dyDescent="0.2">
      <c r="B59" t="s">
        <v>215</v>
      </c>
      <c r="C59" s="12">
        <v>86</v>
      </c>
      <c r="D59" s="8">
        <v>1.63</v>
      </c>
      <c r="E59" s="12">
        <v>53</v>
      </c>
      <c r="F59" s="8">
        <v>2.09</v>
      </c>
      <c r="G59" s="12">
        <v>33</v>
      </c>
      <c r="H59" s="8">
        <v>1.22</v>
      </c>
      <c r="I59" s="12">
        <v>0</v>
      </c>
    </row>
    <row r="60" spans="2:9" ht="15" customHeight="1" x14ac:dyDescent="0.2">
      <c r="B60" t="s">
        <v>190</v>
      </c>
      <c r="C60" s="12">
        <v>85</v>
      </c>
      <c r="D60" s="8">
        <v>1.62</v>
      </c>
      <c r="E60" s="12">
        <v>11</v>
      </c>
      <c r="F60" s="8">
        <v>0.43</v>
      </c>
      <c r="G60" s="12">
        <v>74</v>
      </c>
      <c r="H60" s="8">
        <v>2.75</v>
      </c>
      <c r="I60" s="12">
        <v>0</v>
      </c>
    </row>
    <row r="61" spans="2:9" ht="15" customHeight="1" x14ac:dyDescent="0.2">
      <c r="B61" t="s">
        <v>152</v>
      </c>
      <c r="C61" s="12">
        <v>84</v>
      </c>
      <c r="D61" s="8">
        <v>1.6</v>
      </c>
      <c r="E61" s="12">
        <v>15</v>
      </c>
      <c r="F61" s="8">
        <v>0.59</v>
      </c>
      <c r="G61" s="12">
        <v>69</v>
      </c>
      <c r="H61" s="8">
        <v>2.56</v>
      </c>
      <c r="I61" s="12">
        <v>0</v>
      </c>
    </row>
    <row r="62" spans="2:9" ht="15" customHeight="1" x14ac:dyDescent="0.2">
      <c r="B62" t="s">
        <v>156</v>
      </c>
      <c r="C62" s="12">
        <v>79</v>
      </c>
      <c r="D62" s="8">
        <v>1.5</v>
      </c>
      <c r="E62" s="12">
        <v>46</v>
      </c>
      <c r="F62" s="8">
        <v>1.82</v>
      </c>
      <c r="G62" s="12">
        <v>33</v>
      </c>
      <c r="H62" s="8">
        <v>1.22</v>
      </c>
      <c r="I62" s="12">
        <v>0</v>
      </c>
    </row>
    <row r="63" spans="2:9" ht="15" customHeight="1" x14ac:dyDescent="0.2">
      <c r="B63" t="s">
        <v>196</v>
      </c>
      <c r="C63" s="12">
        <v>76</v>
      </c>
      <c r="D63" s="8">
        <v>1.44</v>
      </c>
      <c r="E63" s="12">
        <v>35</v>
      </c>
      <c r="F63" s="8">
        <v>1.38</v>
      </c>
      <c r="G63" s="12">
        <v>41</v>
      </c>
      <c r="H63" s="8">
        <v>1.52</v>
      </c>
      <c r="I63" s="12">
        <v>0</v>
      </c>
    </row>
    <row r="64" spans="2:9" ht="15" customHeight="1" x14ac:dyDescent="0.2">
      <c r="B64" t="s">
        <v>153</v>
      </c>
      <c r="C64" s="12">
        <v>74</v>
      </c>
      <c r="D64" s="8">
        <v>1.41</v>
      </c>
      <c r="E64" s="12">
        <v>11</v>
      </c>
      <c r="F64" s="8">
        <v>0.43</v>
      </c>
      <c r="G64" s="12">
        <v>63</v>
      </c>
      <c r="H64" s="8">
        <v>2.34</v>
      </c>
      <c r="I64" s="12">
        <v>0</v>
      </c>
    </row>
    <row r="65" spans="2:9" ht="15" customHeight="1" x14ac:dyDescent="0.2">
      <c r="B65" t="s">
        <v>158</v>
      </c>
      <c r="C65" s="12">
        <v>71</v>
      </c>
      <c r="D65" s="8">
        <v>1.35</v>
      </c>
      <c r="E65" s="12">
        <v>19</v>
      </c>
      <c r="F65" s="8">
        <v>0.75</v>
      </c>
      <c r="G65" s="12">
        <v>52</v>
      </c>
      <c r="H65" s="8">
        <v>1.93</v>
      </c>
      <c r="I65" s="12">
        <v>0</v>
      </c>
    </row>
    <row r="66" spans="2:9" ht="15" customHeight="1" x14ac:dyDescent="0.2">
      <c r="B66" t="s">
        <v>161</v>
      </c>
      <c r="C66" s="12">
        <v>71</v>
      </c>
      <c r="D66" s="8">
        <v>1.35</v>
      </c>
      <c r="E66" s="12">
        <v>47</v>
      </c>
      <c r="F66" s="8">
        <v>1.86</v>
      </c>
      <c r="G66" s="12">
        <v>24</v>
      </c>
      <c r="H66" s="8">
        <v>0.89</v>
      </c>
      <c r="I66" s="12">
        <v>0</v>
      </c>
    </row>
    <row r="68" spans="2:9" ht="15" customHeight="1" x14ac:dyDescent="0.2">
      <c r="B68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4F367-F200-414F-9CF2-E01DDDDE3AA0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314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258</v>
      </c>
      <c r="D6" s="8">
        <v>13.24</v>
      </c>
      <c r="E6" s="12">
        <v>80</v>
      </c>
      <c r="F6" s="8">
        <v>7.02</v>
      </c>
      <c r="G6" s="12">
        <v>178</v>
      </c>
      <c r="H6" s="8">
        <v>22.22</v>
      </c>
      <c r="I6" s="12">
        <v>0</v>
      </c>
    </row>
    <row r="7" spans="2:9" ht="15" customHeight="1" x14ac:dyDescent="0.2">
      <c r="B7" t="s">
        <v>77</v>
      </c>
      <c r="C7" s="12">
        <v>264</v>
      </c>
      <c r="D7" s="8">
        <v>13.55</v>
      </c>
      <c r="E7" s="12">
        <v>121</v>
      </c>
      <c r="F7" s="8">
        <v>10.61</v>
      </c>
      <c r="G7" s="12">
        <v>142</v>
      </c>
      <c r="H7" s="8">
        <v>17.73</v>
      </c>
      <c r="I7" s="12">
        <v>1</v>
      </c>
    </row>
    <row r="8" spans="2:9" ht="15" customHeight="1" x14ac:dyDescent="0.2">
      <c r="B8" t="s">
        <v>78</v>
      </c>
      <c r="C8" s="12">
        <v>2</v>
      </c>
      <c r="D8" s="8">
        <v>0.1</v>
      </c>
      <c r="E8" s="12">
        <v>1</v>
      </c>
      <c r="F8" s="8">
        <v>0.09</v>
      </c>
      <c r="G8" s="12">
        <v>1</v>
      </c>
      <c r="H8" s="8">
        <v>0.12</v>
      </c>
      <c r="I8" s="12">
        <v>0</v>
      </c>
    </row>
    <row r="9" spans="2:9" ht="15" customHeight="1" x14ac:dyDescent="0.2">
      <c r="B9" t="s">
        <v>79</v>
      </c>
      <c r="C9" s="12">
        <v>17</v>
      </c>
      <c r="D9" s="8">
        <v>0.87</v>
      </c>
      <c r="E9" s="12">
        <v>1</v>
      </c>
      <c r="F9" s="8">
        <v>0.09</v>
      </c>
      <c r="G9" s="12">
        <v>16</v>
      </c>
      <c r="H9" s="8">
        <v>2</v>
      </c>
      <c r="I9" s="12">
        <v>0</v>
      </c>
    </row>
    <row r="10" spans="2:9" ht="15" customHeight="1" x14ac:dyDescent="0.2">
      <c r="B10" t="s">
        <v>80</v>
      </c>
      <c r="C10" s="12">
        <v>24</v>
      </c>
      <c r="D10" s="8">
        <v>1.23</v>
      </c>
      <c r="E10" s="12">
        <v>1</v>
      </c>
      <c r="F10" s="8">
        <v>0.09</v>
      </c>
      <c r="G10" s="12">
        <v>23</v>
      </c>
      <c r="H10" s="8">
        <v>2.87</v>
      </c>
      <c r="I10" s="12">
        <v>0</v>
      </c>
    </row>
    <row r="11" spans="2:9" ht="15" customHeight="1" x14ac:dyDescent="0.2">
      <c r="B11" t="s">
        <v>81</v>
      </c>
      <c r="C11" s="12">
        <v>407</v>
      </c>
      <c r="D11" s="8">
        <v>20.88</v>
      </c>
      <c r="E11" s="12">
        <v>236</v>
      </c>
      <c r="F11" s="8">
        <v>20.7</v>
      </c>
      <c r="G11" s="12">
        <v>171</v>
      </c>
      <c r="H11" s="8">
        <v>21.35</v>
      </c>
      <c r="I11" s="12">
        <v>0</v>
      </c>
    </row>
    <row r="12" spans="2:9" ht="15" customHeight="1" x14ac:dyDescent="0.2">
      <c r="B12" t="s">
        <v>82</v>
      </c>
      <c r="C12" s="12">
        <v>12</v>
      </c>
      <c r="D12" s="8">
        <v>0.62</v>
      </c>
      <c r="E12" s="12">
        <v>2</v>
      </c>
      <c r="F12" s="8">
        <v>0.18</v>
      </c>
      <c r="G12" s="12">
        <v>10</v>
      </c>
      <c r="H12" s="8">
        <v>1.25</v>
      </c>
      <c r="I12" s="12">
        <v>0</v>
      </c>
    </row>
    <row r="13" spans="2:9" ht="15" customHeight="1" x14ac:dyDescent="0.2">
      <c r="B13" t="s">
        <v>83</v>
      </c>
      <c r="C13" s="12">
        <v>260</v>
      </c>
      <c r="D13" s="8">
        <v>13.34</v>
      </c>
      <c r="E13" s="12">
        <v>140</v>
      </c>
      <c r="F13" s="8">
        <v>12.28</v>
      </c>
      <c r="G13" s="12">
        <v>119</v>
      </c>
      <c r="H13" s="8">
        <v>14.86</v>
      </c>
      <c r="I13" s="12">
        <v>0</v>
      </c>
    </row>
    <row r="14" spans="2:9" ht="15" customHeight="1" x14ac:dyDescent="0.2">
      <c r="B14" t="s">
        <v>84</v>
      </c>
      <c r="C14" s="12">
        <v>62</v>
      </c>
      <c r="D14" s="8">
        <v>3.18</v>
      </c>
      <c r="E14" s="12">
        <v>34</v>
      </c>
      <c r="F14" s="8">
        <v>2.98</v>
      </c>
      <c r="G14" s="12">
        <v>28</v>
      </c>
      <c r="H14" s="8">
        <v>3.5</v>
      </c>
      <c r="I14" s="12">
        <v>0</v>
      </c>
    </row>
    <row r="15" spans="2:9" ht="15" customHeight="1" x14ac:dyDescent="0.2">
      <c r="B15" t="s">
        <v>85</v>
      </c>
      <c r="C15" s="12">
        <v>195</v>
      </c>
      <c r="D15" s="8">
        <v>10.01</v>
      </c>
      <c r="E15" s="12">
        <v>176</v>
      </c>
      <c r="F15" s="8">
        <v>15.44</v>
      </c>
      <c r="G15" s="12">
        <v>19</v>
      </c>
      <c r="H15" s="8">
        <v>2.37</v>
      </c>
      <c r="I15" s="12">
        <v>0</v>
      </c>
    </row>
    <row r="16" spans="2:9" ht="15" customHeight="1" x14ac:dyDescent="0.2">
      <c r="B16" t="s">
        <v>86</v>
      </c>
      <c r="C16" s="12">
        <v>211</v>
      </c>
      <c r="D16" s="8">
        <v>10.83</v>
      </c>
      <c r="E16" s="12">
        <v>168</v>
      </c>
      <c r="F16" s="8">
        <v>14.74</v>
      </c>
      <c r="G16" s="12">
        <v>41</v>
      </c>
      <c r="H16" s="8">
        <v>5.12</v>
      </c>
      <c r="I16" s="12">
        <v>1</v>
      </c>
    </row>
    <row r="17" spans="2:9" ht="15" customHeight="1" x14ac:dyDescent="0.2">
      <c r="B17" t="s">
        <v>87</v>
      </c>
      <c r="C17" s="12">
        <v>91</v>
      </c>
      <c r="D17" s="8">
        <v>4.67</v>
      </c>
      <c r="E17" s="12">
        <v>80</v>
      </c>
      <c r="F17" s="8">
        <v>7.02</v>
      </c>
      <c r="G17" s="12">
        <v>10</v>
      </c>
      <c r="H17" s="8">
        <v>1.25</v>
      </c>
      <c r="I17" s="12">
        <v>0</v>
      </c>
    </row>
    <row r="18" spans="2:9" ht="15" customHeight="1" x14ac:dyDescent="0.2">
      <c r="B18" t="s">
        <v>88</v>
      </c>
      <c r="C18" s="12">
        <v>89</v>
      </c>
      <c r="D18" s="8">
        <v>4.57</v>
      </c>
      <c r="E18" s="12">
        <v>55</v>
      </c>
      <c r="F18" s="8">
        <v>4.82</v>
      </c>
      <c r="G18" s="12">
        <v>31</v>
      </c>
      <c r="H18" s="8">
        <v>3.87</v>
      </c>
      <c r="I18" s="12">
        <v>0</v>
      </c>
    </row>
    <row r="19" spans="2:9" ht="15" customHeight="1" x14ac:dyDescent="0.2">
      <c r="B19" t="s">
        <v>89</v>
      </c>
      <c r="C19" s="12">
        <v>57</v>
      </c>
      <c r="D19" s="8">
        <v>2.92</v>
      </c>
      <c r="E19" s="12">
        <v>45</v>
      </c>
      <c r="F19" s="8">
        <v>3.95</v>
      </c>
      <c r="G19" s="12">
        <v>12</v>
      </c>
      <c r="H19" s="8">
        <v>1.5</v>
      </c>
      <c r="I19" s="12">
        <v>0</v>
      </c>
    </row>
    <row r="20" spans="2:9" ht="15" customHeight="1" x14ac:dyDescent="0.2">
      <c r="B20" s="9" t="s">
        <v>271</v>
      </c>
      <c r="C20" s="12">
        <f>SUM(LTBL_27208[総数／事業所数])</f>
        <v>1949</v>
      </c>
      <c r="E20" s="12">
        <f>SUBTOTAL(109,LTBL_27208[個人／事業所数])</f>
        <v>1140</v>
      </c>
      <c r="G20" s="12">
        <f>SUBTOTAL(109,LTBL_27208[法人／事業所数])</f>
        <v>801</v>
      </c>
      <c r="I20" s="12">
        <f>SUBTOTAL(109,LTBL_27208[法人以外の団体／事業所数])</f>
        <v>2</v>
      </c>
    </row>
    <row r="21" spans="2:9" ht="15" customHeight="1" x14ac:dyDescent="0.2">
      <c r="E21" s="11">
        <f>LTBL_27208[[#Totals],[個人／事業所数]]/LTBL_27208[[#Totals],[総数／事業所数]]</f>
        <v>0.58491534120061572</v>
      </c>
      <c r="G21" s="11">
        <f>LTBL_27208[[#Totals],[法人／事業所数]]/LTBL_27208[[#Totals],[総数／事業所数]]</f>
        <v>0.41097998973832733</v>
      </c>
      <c r="I21" s="11">
        <f>LTBL_27208[[#Totals],[法人以外の団体／事業所数]]/LTBL_27208[[#Totals],[総数／事業所数]]</f>
        <v>1.026167265264238E-3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110</v>
      </c>
      <c r="C24" s="12">
        <v>231</v>
      </c>
      <c r="D24" s="8">
        <v>11.85</v>
      </c>
      <c r="E24" s="12">
        <v>139</v>
      </c>
      <c r="F24" s="8">
        <v>12.19</v>
      </c>
      <c r="G24" s="12">
        <v>91</v>
      </c>
      <c r="H24" s="8">
        <v>11.36</v>
      </c>
      <c r="I24" s="12">
        <v>0</v>
      </c>
    </row>
    <row r="25" spans="2:9" ht="15" customHeight="1" x14ac:dyDescent="0.2">
      <c r="B25" t="s">
        <v>113</v>
      </c>
      <c r="C25" s="12">
        <v>183</v>
      </c>
      <c r="D25" s="8">
        <v>9.39</v>
      </c>
      <c r="E25" s="12">
        <v>170</v>
      </c>
      <c r="F25" s="8">
        <v>14.91</v>
      </c>
      <c r="G25" s="12">
        <v>13</v>
      </c>
      <c r="H25" s="8">
        <v>1.62</v>
      </c>
      <c r="I25" s="12">
        <v>0</v>
      </c>
    </row>
    <row r="26" spans="2:9" ht="15" customHeight="1" x14ac:dyDescent="0.2">
      <c r="B26" t="s">
        <v>114</v>
      </c>
      <c r="C26" s="12">
        <v>160</v>
      </c>
      <c r="D26" s="8">
        <v>8.2100000000000009</v>
      </c>
      <c r="E26" s="12">
        <v>143</v>
      </c>
      <c r="F26" s="8">
        <v>12.54</v>
      </c>
      <c r="G26" s="12">
        <v>16</v>
      </c>
      <c r="H26" s="8">
        <v>2</v>
      </c>
      <c r="I26" s="12">
        <v>1</v>
      </c>
    </row>
    <row r="27" spans="2:9" ht="15" customHeight="1" x14ac:dyDescent="0.2">
      <c r="B27" t="s">
        <v>98</v>
      </c>
      <c r="C27" s="12">
        <v>123</v>
      </c>
      <c r="D27" s="8">
        <v>6.31</v>
      </c>
      <c r="E27" s="12">
        <v>31</v>
      </c>
      <c r="F27" s="8">
        <v>2.72</v>
      </c>
      <c r="G27" s="12">
        <v>92</v>
      </c>
      <c r="H27" s="8">
        <v>11.49</v>
      </c>
      <c r="I27" s="12">
        <v>0</v>
      </c>
    </row>
    <row r="28" spans="2:9" ht="15" customHeight="1" x14ac:dyDescent="0.2">
      <c r="B28" t="s">
        <v>108</v>
      </c>
      <c r="C28" s="12">
        <v>98</v>
      </c>
      <c r="D28" s="8">
        <v>5.03</v>
      </c>
      <c r="E28" s="12">
        <v>56</v>
      </c>
      <c r="F28" s="8">
        <v>4.91</v>
      </c>
      <c r="G28" s="12">
        <v>42</v>
      </c>
      <c r="H28" s="8">
        <v>5.24</v>
      </c>
      <c r="I28" s="12">
        <v>0</v>
      </c>
    </row>
    <row r="29" spans="2:9" ht="15" customHeight="1" x14ac:dyDescent="0.2">
      <c r="B29" t="s">
        <v>106</v>
      </c>
      <c r="C29" s="12">
        <v>92</v>
      </c>
      <c r="D29" s="8">
        <v>4.72</v>
      </c>
      <c r="E29" s="12">
        <v>80</v>
      </c>
      <c r="F29" s="8">
        <v>7.02</v>
      </c>
      <c r="G29" s="12">
        <v>12</v>
      </c>
      <c r="H29" s="8">
        <v>1.5</v>
      </c>
      <c r="I29" s="12">
        <v>0</v>
      </c>
    </row>
    <row r="30" spans="2:9" ht="15" customHeight="1" x14ac:dyDescent="0.2">
      <c r="B30" t="s">
        <v>115</v>
      </c>
      <c r="C30" s="12">
        <v>91</v>
      </c>
      <c r="D30" s="8">
        <v>4.67</v>
      </c>
      <c r="E30" s="12">
        <v>80</v>
      </c>
      <c r="F30" s="8">
        <v>7.02</v>
      </c>
      <c r="G30" s="12">
        <v>10</v>
      </c>
      <c r="H30" s="8">
        <v>1.25</v>
      </c>
      <c r="I30" s="12">
        <v>0</v>
      </c>
    </row>
    <row r="31" spans="2:9" ht="15" customHeight="1" x14ac:dyDescent="0.2">
      <c r="B31" t="s">
        <v>99</v>
      </c>
      <c r="C31" s="12">
        <v>76</v>
      </c>
      <c r="D31" s="8">
        <v>3.9</v>
      </c>
      <c r="E31" s="12">
        <v>34</v>
      </c>
      <c r="F31" s="8">
        <v>2.98</v>
      </c>
      <c r="G31" s="12">
        <v>42</v>
      </c>
      <c r="H31" s="8">
        <v>5.24</v>
      </c>
      <c r="I31" s="12">
        <v>0</v>
      </c>
    </row>
    <row r="32" spans="2:9" ht="15" customHeight="1" x14ac:dyDescent="0.2">
      <c r="B32" t="s">
        <v>101</v>
      </c>
      <c r="C32" s="12">
        <v>65</v>
      </c>
      <c r="D32" s="8">
        <v>3.34</v>
      </c>
      <c r="E32" s="12">
        <v>23</v>
      </c>
      <c r="F32" s="8">
        <v>2.02</v>
      </c>
      <c r="G32" s="12">
        <v>42</v>
      </c>
      <c r="H32" s="8">
        <v>5.24</v>
      </c>
      <c r="I32" s="12">
        <v>0</v>
      </c>
    </row>
    <row r="33" spans="2:9" ht="15" customHeight="1" x14ac:dyDescent="0.2">
      <c r="B33" t="s">
        <v>116</v>
      </c>
      <c r="C33" s="12">
        <v>60</v>
      </c>
      <c r="D33" s="8">
        <v>3.08</v>
      </c>
      <c r="E33" s="12">
        <v>55</v>
      </c>
      <c r="F33" s="8">
        <v>4.82</v>
      </c>
      <c r="G33" s="12">
        <v>5</v>
      </c>
      <c r="H33" s="8">
        <v>0.62</v>
      </c>
      <c r="I33" s="12">
        <v>0</v>
      </c>
    </row>
    <row r="34" spans="2:9" ht="15" customHeight="1" x14ac:dyDescent="0.2">
      <c r="B34" t="s">
        <v>100</v>
      </c>
      <c r="C34" s="12">
        <v>59</v>
      </c>
      <c r="D34" s="8">
        <v>3.03</v>
      </c>
      <c r="E34" s="12">
        <v>15</v>
      </c>
      <c r="F34" s="8">
        <v>1.32</v>
      </c>
      <c r="G34" s="12">
        <v>44</v>
      </c>
      <c r="H34" s="8">
        <v>5.49</v>
      </c>
      <c r="I34" s="12">
        <v>0</v>
      </c>
    </row>
    <row r="35" spans="2:9" ht="15" customHeight="1" x14ac:dyDescent="0.2">
      <c r="B35" t="s">
        <v>107</v>
      </c>
      <c r="C35" s="12">
        <v>59</v>
      </c>
      <c r="D35" s="8">
        <v>3.03</v>
      </c>
      <c r="E35" s="12">
        <v>44</v>
      </c>
      <c r="F35" s="8">
        <v>3.86</v>
      </c>
      <c r="G35" s="12">
        <v>15</v>
      </c>
      <c r="H35" s="8">
        <v>1.87</v>
      </c>
      <c r="I35" s="12">
        <v>0</v>
      </c>
    </row>
    <row r="36" spans="2:9" ht="15" customHeight="1" x14ac:dyDescent="0.2">
      <c r="B36" t="s">
        <v>120</v>
      </c>
      <c r="C36" s="12">
        <v>46</v>
      </c>
      <c r="D36" s="8">
        <v>2.36</v>
      </c>
      <c r="E36" s="12">
        <v>22</v>
      </c>
      <c r="F36" s="8">
        <v>1.93</v>
      </c>
      <c r="G36" s="12">
        <v>24</v>
      </c>
      <c r="H36" s="8">
        <v>3</v>
      </c>
      <c r="I36" s="12">
        <v>0</v>
      </c>
    </row>
    <row r="37" spans="2:9" ht="15" customHeight="1" x14ac:dyDescent="0.2">
      <c r="B37" t="s">
        <v>129</v>
      </c>
      <c r="C37" s="12">
        <v>40</v>
      </c>
      <c r="D37" s="8">
        <v>2.0499999999999998</v>
      </c>
      <c r="E37" s="12">
        <v>37</v>
      </c>
      <c r="F37" s="8">
        <v>3.25</v>
      </c>
      <c r="G37" s="12">
        <v>3</v>
      </c>
      <c r="H37" s="8">
        <v>0.37</v>
      </c>
      <c r="I37" s="12">
        <v>0</v>
      </c>
    </row>
    <row r="38" spans="2:9" ht="15" customHeight="1" x14ac:dyDescent="0.2">
      <c r="B38" t="s">
        <v>130</v>
      </c>
      <c r="C38" s="12">
        <v>37</v>
      </c>
      <c r="D38" s="8">
        <v>1.9</v>
      </c>
      <c r="E38" s="12">
        <v>17</v>
      </c>
      <c r="F38" s="8">
        <v>1.49</v>
      </c>
      <c r="G38" s="12">
        <v>19</v>
      </c>
      <c r="H38" s="8">
        <v>2.37</v>
      </c>
      <c r="I38" s="12">
        <v>0</v>
      </c>
    </row>
    <row r="39" spans="2:9" ht="15" customHeight="1" x14ac:dyDescent="0.2">
      <c r="B39" t="s">
        <v>105</v>
      </c>
      <c r="C39" s="12">
        <v>36</v>
      </c>
      <c r="D39" s="8">
        <v>1.85</v>
      </c>
      <c r="E39" s="12">
        <v>27</v>
      </c>
      <c r="F39" s="8">
        <v>2.37</v>
      </c>
      <c r="G39" s="12">
        <v>9</v>
      </c>
      <c r="H39" s="8">
        <v>1.1200000000000001</v>
      </c>
      <c r="I39" s="12">
        <v>0</v>
      </c>
    </row>
    <row r="40" spans="2:9" ht="15" customHeight="1" x14ac:dyDescent="0.2">
      <c r="B40" t="s">
        <v>111</v>
      </c>
      <c r="C40" s="12">
        <v>32</v>
      </c>
      <c r="D40" s="8">
        <v>1.64</v>
      </c>
      <c r="E40" s="12">
        <v>15</v>
      </c>
      <c r="F40" s="8">
        <v>1.32</v>
      </c>
      <c r="G40" s="12">
        <v>17</v>
      </c>
      <c r="H40" s="8">
        <v>2.12</v>
      </c>
      <c r="I40" s="12">
        <v>0</v>
      </c>
    </row>
    <row r="41" spans="2:9" ht="15" customHeight="1" x14ac:dyDescent="0.2">
      <c r="B41" t="s">
        <v>104</v>
      </c>
      <c r="C41" s="12">
        <v>29</v>
      </c>
      <c r="D41" s="8">
        <v>1.49</v>
      </c>
      <c r="E41" s="12">
        <v>9</v>
      </c>
      <c r="F41" s="8">
        <v>0.79</v>
      </c>
      <c r="G41" s="12">
        <v>20</v>
      </c>
      <c r="H41" s="8">
        <v>2.5</v>
      </c>
      <c r="I41" s="12">
        <v>0</v>
      </c>
    </row>
    <row r="42" spans="2:9" ht="15" customHeight="1" x14ac:dyDescent="0.2">
      <c r="B42" t="s">
        <v>117</v>
      </c>
      <c r="C42" s="12">
        <v>29</v>
      </c>
      <c r="D42" s="8">
        <v>1.49</v>
      </c>
      <c r="E42" s="12">
        <v>0</v>
      </c>
      <c r="F42" s="8">
        <v>0</v>
      </c>
      <c r="G42" s="12">
        <v>26</v>
      </c>
      <c r="H42" s="8">
        <v>3.25</v>
      </c>
      <c r="I42" s="12">
        <v>0</v>
      </c>
    </row>
    <row r="43" spans="2:9" ht="15" customHeight="1" x14ac:dyDescent="0.2">
      <c r="B43" t="s">
        <v>112</v>
      </c>
      <c r="C43" s="12">
        <v>28</v>
      </c>
      <c r="D43" s="8">
        <v>1.44</v>
      </c>
      <c r="E43" s="12">
        <v>18</v>
      </c>
      <c r="F43" s="8">
        <v>1.58</v>
      </c>
      <c r="G43" s="12">
        <v>10</v>
      </c>
      <c r="H43" s="8">
        <v>1.25</v>
      </c>
      <c r="I43" s="12">
        <v>0</v>
      </c>
    </row>
    <row r="46" spans="2:9" ht="33" customHeight="1" x14ac:dyDescent="0.2">
      <c r="B46" t="s">
        <v>273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161</v>
      </c>
      <c r="C47" s="12">
        <v>99</v>
      </c>
      <c r="D47" s="8">
        <v>5.08</v>
      </c>
      <c r="E47" s="12">
        <v>90</v>
      </c>
      <c r="F47" s="8">
        <v>7.89</v>
      </c>
      <c r="G47" s="12">
        <v>9</v>
      </c>
      <c r="H47" s="8">
        <v>1.1200000000000001</v>
      </c>
      <c r="I47" s="12">
        <v>0</v>
      </c>
    </row>
    <row r="48" spans="2:9" ht="15" customHeight="1" x14ac:dyDescent="0.2">
      <c r="B48" t="s">
        <v>169</v>
      </c>
      <c r="C48" s="12">
        <v>80</v>
      </c>
      <c r="D48" s="8">
        <v>4.0999999999999996</v>
      </c>
      <c r="E48" s="12">
        <v>75</v>
      </c>
      <c r="F48" s="8">
        <v>6.58</v>
      </c>
      <c r="G48" s="12">
        <v>5</v>
      </c>
      <c r="H48" s="8">
        <v>0.62</v>
      </c>
      <c r="I48" s="12">
        <v>0</v>
      </c>
    </row>
    <row r="49" spans="2:9" ht="15" customHeight="1" x14ac:dyDescent="0.2">
      <c r="B49" t="s">
        <v>160</v>
      </c>
      <c r="C49" s="12">
        <v>76</v>
      </c>
      <c r="D49" s="8">
        <v>3.9</v>
      </c>
      <c r="E49" s="12">
        <v>39</v>
      </c>
      <c r="F49" s="8">
        <v>3.42</v>
      </c>
      <c r="G49" s="12">
        <v>36</v>
      </c>
      <c r="H49" s="8">
        <v>4.49</v>
      </c>
      <c r="I49" s="12">
        <v>0</v>
      </c>
    </row>
    <row r="50" spans="2:9" ht="15" customHeight="1" x14ac:dyDescent="0.2">
      <c r="B50" t="s">
        <v>170</v>
      </c>
      <c r="C50" s="12">
        <v>56</v>
      </c>
      <c r="D50" s="8">
        <v>2.87</v>
      </c>
      <c r="E50" s="12">
        <v>53</v>
      </c>
      <c r="F50" s="8">
        <v>4.6500000000000004</v>
      </c>
      <c r="G50" s="12">
        <v>3</v>
      </c>
      <c r="H50" s="8">
        <v>0.37</v>
      </c>
      <c r="I50" s="12">
        <v>0</v>
      </c>
    </row>
    <row r="51" spans="2:9" ht="15" customHeight="1" x14ac:dyDescent="0.2">
      <c r="B51" t="s">
        <v>168</v>
      </c>
      <c r="C51" s="12">
        <v>51</v>
      </c>
      <c r="D51" s="8">
        <v>2.62</v>
      </c>
      <c r="E51" s="12">
        <v>49</v>
      </c>
      <c r="F51" s="8">
        <v>4.3</v>
      </c>
      <c r="G51" s="12">
        <v>2</v>
      </c>
      <c r="H51" s="8">
        <v>0.25</v>
      </c>
      <c r="I51" s="12">
        <v>0</v>
      </c>
    </row>
    <row r="52" spans="2:9" ht="15" customHeight="1" x14ac:dyDescent="0.2">
      <c r="B52" t="s">
        <v>190</v>
      </c>
      <c r="C52" s="12">
        <v>47</v>
      </c>
      <c r="D52" s="8">
        <v>2.41</v>
      </c>
      <c r="E52" s="12">
        <v>16</v>
      </c>
      <c r="F52" s="8">
        <v>1.4</v>
      </c>
      <c r="G52" s="12">
        <v>31</v>
      </c>
      <c r="H52" s="8">
        <v>3.87</v>
      </c>
      <c r="I52" s="12">
        <v>0</v>
      </c>
    </row>
    <row r="53" spans="2:9" ht="15" customHeight="1" x14ac:dyDescent="0.2">
      <c r="B53" t="s">
        <v>171</v>
      </c>
      <c r="C53" s="12">
        <v>47</v>
      </c>
      <c r="D53" s="8">
        <v>2.41</v>
      </c>
      <c r="E53" s="12">
        <v>45</v>
      </c>
      <c r="F53" s="8">
        <v>3.95</v>
      </c>
      <c r="G53" s="12">
        <v>2</v>
      </c>
      <c r="H53" s="8">
        <v>0.25</v>
      </c>
      <c r="I53" s="12">
        <v>0</v>
      </c>
    </row>
    <row r="54" spans="2:9" ht="15" customHeight="1" x14ac:dyDescent="0.2">
      <c r="B54" t="s">
        <v>167</v>
      </c>
      <c r="C54" s="12">
        <v>45</v>
      </c>
      <c r="D54" s="8">
        <v>2.31</v>
      </c>
      <c r="E54" s="12">
        <v>44</v>
      </c>
      <c r="F54" s="8">
        <v>3.86</v>
      </c>
      <c r="G54" s="12">
        <v>1</v>
      </c>
      <c r="H54" s="8">
        <v>0.12</v>
      </c>
      <c r="I54" s="12">
        <v>0</v>
      </c>
    </row>
    <row r="55" spans="2:9" ht="15" customHeight="1" x14ac:dyDescent="0.2">
      <c r="B55" t="s">
        <v>215</v>
      </c>
      <c r="C55" s="12">
        <v>43</v>
      </c>
      <c r="D55" s="8">
        <v>2.21</v>
      </c>
      <c r="E55" s="12">
        <v>29</v>
      </c>
      <c r="F55" s="8">
        <v>2.54</v>
      </c>
      <c r="G55" s="12">
        <v>14</v>
      </c>
      <c r="H55" s="8">
        <v>1.75</v>
      </c>
      <c r="I55" s="12">
        <v>0</v>
      </c>
    </row>
    <row r="56" spans="2:9" ht="15" customHeight="1" x14ac:dyDescent="0.2">
      <c r="B56" t="s">
        <v>165</v>
      </c>
      <c r="C56" s="12">
        <v>42</v>
      </c>
      <c r="D56" s="8">
        <v>2.15</v>
      </c>
      <c r="E56" s="12">
        <v>40</v>
      </c>
      <c r="F56" s="8">
        <v>3.51</v>
      </c>
      <c r="G56" s="12">
        <v>2</v>
      </c>
      <c r="H56" s="8">
        <v>0.25</v>
      </c>
      <c r="I56" s="12">
        <v>0</v>
      </c>
    </row>
    <row r="57" spans="2:9" ht="15" customHeight="1" x14ac:dyDescent="0.2">
      <c r="B57" t="s">
        <v>198</v>
      </c>
      <c r="C57" s="12">
        <v>40</v>
      </c>
      <c r="D57" s="8">
        <v>2.0499999999999998</v>
      </c>
      <c r="E57" s="12">
        <v>37</v>
      </c>
      <c r="F57" s="8">
        <v>3.25</v>
      </c>
      <c r="G57" s="12">
        <v>3</v>
      </c>
      <c r="H57" s="8">
        <v>0.37</v>
      </c>
      <c r="I57" s="12">
        <v>0</v>
      </c>
    </row>
    <row r="58" spans="2:9" ht="15" customHeight="1" x14ac:dyDescent="0.2">
      <c r="B58" t="s">
        <v>159</v>
      </c>
      <c r="C58" s="12">
        <v>39</v>
      </c>
      <c r="D58" s="8">
        <v>2</v>
      </c>
      <c r="E58" s="12">
        <v>7</v>
      </c>
      <c r="F58" s="8">
        <v>0.61</v>
      </c>
      <c r="G58" s="12">
        <v>32</v>
      </c>
      <c r="H58" s="8">
        <v>4</v>
      </c>
      <c r="I58" s="12">
        <v>0</v>
      </c>
    </row>
    <row r="59" spans="2:9" ht="15" customHeight="1" x14ac:dyDescent="0.2">
      <c r="B59" t="s">
        <v>157</v>
      </c>
      <c r="C59" s="12">
        <v>37</v>
      </c>
      <c r="D59" s="8">
        <v>1.9</v>
      </c>
      <c r="E59" s="12">
        <v>25</v>
      </c>
      <c r="F59" s="8">
        <v>2.19</v>
      </c>
      <c r="G59" s="12">
        <v>12</v>
      </c>
      <c r="H59" s="8">
        <v>1.5</v>
      </c>
      <c r="I59" s="12">
        <v>0</v>
      </c>
    </row>
    <row r="60" spans="2:9" ht="15" customHeight="1" x14ac:dyDescent="0.2">
      <c r="B60" t="s">
        <v>153</v>
      </c>
      <c r="C60" s="12">
        <v>34</v>
      </c>
      <c r="D60" s="8">
        <v>1.74</v>
      </c>
      <c r="E60" s="12">
        <v>10</v>
      </c>
      <c r="F60" s="8">
        <v>0.88</v>
      </c>
      <c r="G60" s="12">
        <v>24</v>
      </c>
      <c r="H60" s="8">
        <v>3</v>
      </c>
      <c r="I60" s="12">
        <v>0</v>
      </c>
    </row>
    <row r="61" spans="2:9" ht="15" customHeight="1" x14ac:dyDescent="0.2">
      <c r="B61" t="s">
        <v>199</v>
      </c>
      <c r="C61" s="12">
        <v>34</v>
      </c>
      <c r="D61" s="8">
        <v>1.74</v>
      </c>
      <c r="E61" s="12">
        <v>27</v>
      </c>
      <c r="F61" s="8">
        <v>2.37</v>
      </c>
      <c r="G61" s="12">
        <v>7</v>
      </c>
      <c r="H61" s="8">
        <v>0.87</v>
      </c>
      <c r="I61" s="12">
        <v>0</v>
      </c>
    </row>
    <row r="62" spans="2:9" ht="15" customHeight="1" x14ac:dyDescent="0.2">
      <c r="B62" t="s">
        <v>152</v>
      </c>
      <c r="C62" s="12">
        <v>32</v>
      </c>
      <c r="D62" s="8">
        <v>1.64</v>
      </c>
      <c r="E62" s="12">
        <v>5</v>
      </c>
      <c r="F62" s="8">
        <v>0.44</v>
      </c>
      <c r="G62" s="12">
        <v>27</v>
      </c>
      <c r="H62" s="8">
        <v>3.37</v>
      </c>
      <c r="I62" s="12">
        <v>0</v>
      </c>
    </row>
    <row r="63" spans="2:9" ht="15" customHeight="1" x14ac:dyDescent="0.2">
      <c r="B63" t="s">
        <v>164</v>
      </c>
      <c r="C63" s="12">
        <v>28</v>
      </c>
      <c r="D63" s="8">
        <v>1.44</v>
      </c>
      <c r="E63" s="12">
        <v>25</v>
      </c>
      <c r="F63" s="8">
        <v>2.19</v>
      </c>
      <c r="G63" s="12">
        <v>3</v>
      </c>
      <c r="H63" s="8">
        <v>0.37</v>
      </c>
      <c r="I63" s="12">
        <v>0</v>
      </c>
    </row>
    <row r="64" spans="2:9" ht="15" customHeight="1" x14ac:dyDescent="0.2">
      <c r="B64" t="s">
        <v>166</v>
      </c>
      <c r="C64" s="12">
        <v>28</v>
      </c>
      <c r="D64" s="8">
        <v>1.44</v>
      </c>
      <c r="E64" s="12">
        <v>27</v>
      </c>
      <c r="F64" s="8">
        <v>2.37</v>
      </c>
      <c r="G64" s="12">
        <v>1</v>
      </c>
      <c r="H64" s="8">
        <v>0.12</v>
      </c>
      <c r="I64" s="12">
        <v>0</v>
      </c>
    </row>
    <row r="65" spans="2:9" ht="15" customHeight="1" x14ac:dyDescent="0.2">
      <c r="B65" t="s">
        <v>230</v>
      </c>
      <c r="C65" s="12">
        <v>27</v>
      </c>
      <c r="D65" s="8">
        <v>1.39</v>
      </c>
      <c r="E65" s="12">
        <v>11</v>
      </c>
      <c r="F65" s="8">
        <v>0.96</v>
      </c>
      <c r="G65" s="12">
        <v>16</v>
      </c>
      <c r="H65" s="8">
        <v>2</v>
      </c>
      <c r="I65" s="12">
        <v>0</v>
      </c>
    </row>
    <row r="66" spans="2:9" ht="15" customHeight="1" x14ac:dyDescent="0.2">
      <c r="B66" t="s">
        <v>156</v>
      </c>
      <c r="C66" s="12">
        <v>25</v>
      </c>
      <c r="D66" s="8">
        <v>1.28</v>
      </c>
      <c r="E66" s="12">
        <v>21</v>
      </c>
      <c r="F66" s="8">
        <v>1.84</v>
      </c>
      <c r="G66" s="12">
        <v>4</v>
      </c>
      <c r="H66" s="8">
        <v>0.5</v>
      </c>
      <c r="I66" s="12">
        <v>0</v>
      </c>
    </row>
    <row r="68" spans="2:9" ht="15" customHeight="1" x14ac:dyDescent="0.2">
      <c r="B68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99033-971B-4791-B679-F96B69801B4D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315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492</v>
      </c>
      <c r="D6" s="8">
        <v>13.25</v>
      </c>
      <c r="E6" s="12">
        <v>103</v>
      </c>
      <c r="F6" s="8">
        <v>5.35</v>
      </c>
      <c r="G6" s="12">
        <v>389</v>
      </c>
      <c r="H6" s="8">
        <v>21.84</v>
      </c>
      <c r="I6" s="12">
        <v>0</v>
      </c>
    </row>
    <row r="7" spans="2:9" ht="15" customHeight="1" x14ac:dyDescent="0.2">
      <c r="B7" t="s">
        <v>77</v>
      </c>
      <c r="C7" s="12">
        <v>652</v>
      </c>
      <c r="D7" s="8">
        <v>17.559999999999999</v>
      </c>
      <c r="E7" s="12">
        <v>284</v>
      </c>
      <c r="F7" s="8">
        <v>14.76</v>
      </c>
      <c r="G7" s="12">
        <v>368</v>
      </c>
      <c r="H7" s="8">
        <v>20.66</v>
      </c>
      <c r="I7" s="12">
        <v>0</v>
      </c>
    </row>
    <row r="8" spans="2:9" ht="15" customHeight="1" x14ac:dyDescent="0.2">
      <c r="B8" t="s">
        <v>78</v>
      </c>
      <c r="C8" s="12">
        <v>2</v>
      </c>
      <c r="D8" s="8">
        <v>0.05</v>
      </c>
      <c r="E8" s="12">
        <v>0</v>
      </c>
      <c r="F8" s="8">
        <v>0</v>
      </c>
      <c r="G8" s="12">
        <v>2</v>
      </c>
      <c r="H8" s="8">
        <v>0.11</v>
      </c>
      <c r="I8" s="12">
        <v>0</v>
      </c>
    </row>
    <row r="9" spans="2:9" ht="15" customHeight="1" x14ac:dyDescent="0.2">
      <c r="B9" t="s">
        <v>79</v>
      </c>
      <c r="C9" s="12">
        <v>23</v>
      </c>
      <c r="D9" s="8">
        <v>0.62</v>
      </c>
      <c r="E9" s="12">
        <v>2</v>
      </c>
      <c r="F9" s="8">
        <v>0.1</v>
      </c>
      <c r="G9" s="12">
        <v>21</v>
      </c>
      <c r="H9" s="8">
        <v>1.18</v>
      </c>
      <c r="I9" s="12">
        <v>0</v>
      </c>
    </row>
    <row r="10" spans="2:9" ht="15" customHeight="1" x14ac:dyDescent="0.2">
      <c r="B10" t="s">
        <v>80</v>
      </c>
      <c r="C10" s="12">
        <v>31</v>
      </c>
      <c r="D10" s="8">
        <v>0.84</v>
      </c>
      <c r="E10" s="12">
        <v>5</v>
      </c>
      <c r="F10" s="8">
        <v>0.26</v>
      </c>
      <c r="G10" s="12">
        <v>26</v>
      </c>
      <c r="H10" s="8">
        <v>1.46</v>
      </c>
      <c r="I10" s="12">
        <v>0</v>
      </c>
    </row>
    <row r="11" spans="2:9" ht="15" customHeight="1" x14ac:dyDescent="0.2">
      <c r="B11" t="s">
        <v>81</v>
      </c>
      <c r="C11" s="12">
        <v>724</v>
      </c>
      <c r="D11" s="8">
        <v>19.5</v>
      </c>
      <c r="E11" s="12">
        <v>384</v>
      </c>
      <c r="F11" s="8">
        <v>19.96</v>
      </c>
      <c r="G11" s="12">
        <v>340</v>
      </c>
      <c r="H11" s="8">
        <v>19.09</v>
      </c>
      <c r="I11" s="12">
        <v>0</v>
      </c>
    </row>
    <row r="12" spans="2:9" ht="15" customHeight="1" x14ac:dyDescent="0.2">
      <c r="B12" t="s">
        <v>82</v>
      </c>
      <c r="C12" s="12">
        <v>22</v>
      </c>
      <c r="D12" s="8">
        <v>0.59</v>
      </c>
      <c r="E12" s="12">
        <v>5</v>
      </c>
      <c r="F12" s="8">
        <v>0.26</v>
      </c>
      <c r="G12" s="12">
        <v>17</v>
      </c>
      <c r="H12" s="8">
        <v>0.95</v>
      </c>
      <c r="I12" s="12">
        <v>0</v>
      </c>
    </row>
    <row r="13" spans="2:9" ht="15" customHeight="1" x14ac:dyDescent="0.2">
      <c r="B13" t="s">
        <v>83</v>
      </c>
      <c r="C13" s="12">
        <v>405</v>
      </c>
      <c r="D13" s="8">
        <v>10.91</v>
      </c>
      <c r="E13" s="12">
        <v>117</v>
      </c>
      <c r="F13" s="8">
        <v>6.08</v>
      </c>
      <c r="G13" s="12">
        <v>288</v>
      </c>
      <c r="H13" s="8">
        <v>16.170000000000002</v>
      </c>
      <c r="I13" s="12">
        <v>0</v>
      </c>
    </row>
    <row r="14" spans="2:9" ht="15" customHeight="1" x14ac:dyDescent="0.2">
      <c r="B14" t="s">
        <v>84</v>
      </c>
      <c r="C14" s="12">
        <v>135</v>
      </c>
      <c r="D14" s="8">
        <v>3.64</v>
      </c>
      <c r="E14" s="12">
        <v>63</v>
      </c>
      <c r="F14" s="8">
        <v>3.27</v>
      </c>
      <c r="G14" s="12">
        <v>72</v>
      </c>
      <c r="H14" s="8">
        <v>4.04</v>
      </c>
      <c r="I14" s="12">
        <v>0</v>
      </c>
    </row>
    <row r="15" spans="2:9" ht="15" customHeight="1" x14ac:dyDescent="0.2">
      <c r="B15" t="s">
        <v>85</v>
      </c>
      <c r="C15" s="12">
        <v>476</v>
      </c>
      <c r="D15" s="8">
        <v>12.82</v>
      </c>
      <c r="E15" s="12">
        <v>426</v>
      </c>
      <c r="F15" s="8">
        <v>22.14</v>
      </c>
      <c r="G15" s="12">
        <v>50</v>
      </c>
      <c r="H15" s="8">
        <v>2.81</v>
      </c>
      <c r="I15" s="12">
        <v>0</v>
      </c>
    </row>
    <row r="16" spans="2:9" ht="15" customHeight="1" x14ac:dyDescent="0.2">
      <c r="B16" t="s">
        <v>86</v>
      </c>
      <c r="C16" s="12">
        <v>388</v>
      </c>
      <c r="D16" s="8">
        <v>10.45</v>
      </c>
      <c r="E16" s="12">
        <v>317</v>
      </c>
      <c r="F16" s="8">
        <v>16.48</v>
      </c>
      <c r="G16" s="12">
        <v>71</v>
      </c>
      <c r="H16" s="8">
        <v>3.99</v>
      </c>
      <c r="I16" s="12">
        <v>0</v>
      </c>
    </row>
    <row r="17" spans="2:9" ht="15" customHeight="1" x14ac:dyDescent="0.2">
      <c r="B17" t="s">
        <v>87</v>
      </c>
      <c r="C17" s="12">
        <v>88</v>
      </c>
      <c r="D17" s="8">
        <v>2.37</v>
      </c>
      <c r="E17" s="12">
        <v>62</v>
      </c>
      <c r="F17" s="8">
        <v>3.22</v>
      </c>
      <c r="G17" s="12">
        <v>20</v>
      </c>
      <c r="H17" s="8">
        <v>1.1200000000000001</v>
      </c>
      <c r="I17" s="12">
        <v>5</v>
      </c>
    </row>
    <row r="18" spans="2:9" ht="15" customHeight="1" x14ac:dyDescent="0.2">
      <c r="B18" t="s">
        <v>88</v>
      </c>
      <c r="C18" s="12">
        <v>168</v>
      </c>
      <c r="D18" s="8">
        <v>4.53</v>
      </c>
      <c r="E18" s="12">
        <v>115</v>
      </c>
      <c r="F18" s="8">
        <v>5.98</v>
      </c>
      <c r="G18" s="12">
        <v>53</v>
      </c>
      <c r="H18" s="8">
        <v>2.98</v>
      </c>
      <c r="I18" s="12">
        <v>0</v>
      </c>
    </row>
    <row r="19" spans="2:9" ht="15" customHeight="1" x14ac:dyDescent="0.2">
      <c r="B19" t="s">
        <v>89</v>
      </c>
      <c r="C19" s="12">
        <v>106</v>
      </c>
      <c r="D19" s="8">
        <v>2.86</v>
      </c>
      <c r="E19" s="12">
        <v>41</v>
      </c>
      <c r="F19" s="8">
        <v>2.13</v>
      </c>
      <c r="G19" s="12">
        <v>64</v>
      </c>
      <c r="H19" s="8">
        <v>3.59</v>
      </c>
      <c r="I19" s="12">
        <v>1</v>
      </c>
    </row>
    <row r="20" spans="2:9" ht="15" customHeight="1" x14ac:dyDescent="0.2">
      <c r="B20" s="9" t="s">
        <v>271</v>
      </c>
      <c r="C20" s="12">
        <f>SUM(LTBL_27209[総数／事業所数])</f>
        <v>3712</v>
      </c>
      <c r="E20" s="12">
        <f>SUBTOTAL(109,LTBL_27209[個人／事業所数])</f>
        <v>1924</v>
      </c>
      <c r="G20" s="12">
        <f>SUBTOTAL(109,LTBL_27209[法人／事業所数])</f>
        <v>1781</v>
      </c>
      <c r="I20" s="12">
        <f>SUBTOTAL(109,LTBL_27209[法人以外の団体／事業所数])</f>
        <v>6</v>
      </c>
    </row>
    <row r="21" spans="2:9" ht="15" customHeight="1" x14ac:dyDescent="0.2">
      <c r="E21" s="11">
        <f>LTBL_27209[[#Totals],[個人／事業所数]]/LTBL_27209[[#Totals],[総数／事業所数]]</f>
        <v>0.51831896551724133</v>
      </c>
      <c r="G21" s="11">
        <f>LTBL_27209[[#Totals],[法人／事業所数]]/LTBL_27209[[#Totals],[総数／事業所数]]</f>
        <v>0.47979525862068967</v>
      </c>
      <c r="I21" s="11">
        <f>LTBL_27209[[#Totals],[法人以外の団体／事業所数]]/LTBL_27209[[#Totals],[総数／事業所数]]</f>
        <v>1.6163793103448276E-3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113</v>
      </c>
      <c r="C24" s="12">
        <v>440</v>
      </c>
      <c r="D24" s="8">
        <v>11.85</v>
      </c>
      <c r="E24" s="12">
        <v>409</v>
      </c>
      <c r="F24" s="8">
        <v>21.26</v>
      </c>
      <c r="G24" s="12">
        <v>31</v>
      </c>
      <c r="H24" s="8">
        <v>1.74</v>
      </c>
      <c r="I24" s="12">
        <v>0</v>
      </c>
    </row>
    <row r="25" spans="2:9" ht="15" customHeight="1" x14ac:dyDescent="0.2">
      <c r="B25" t="s">
        <v>114</v>
      </c>
      <c r="C25" s="12">
        <v>327</v>
      </c>
      <c r="D25" s="8">
        <v>8.81</v>
      </c>
      <c r="E25" s="12">
        <v>288</v>
      </c>
      <c r="F25" s="8">
        <v>14.97</v>
      </c>
      <c r="G25" s="12">
        <v>39</v>
      </c>
      <c r="H25" s="8">
        <v>2.19</v>
      </c>
      <c r="I25" s="12">
        <v>0</v>
      </c>
    </row>
    <row r="26" spans="2:9" ht="15" customHeight="1" x14ac:dyDescent="0.2">
      <c r="B26" t="s">
        <v>110</v>
      </c>
      <c r="C26" s="12">
        <v>324</v>
      </c>
      <c r="D26" s="8">
        <v>8.73</v>
      </c>
      <c r="E26" s="12">
        <v>105</v>
      </c>
      <c r="F26" s="8">
        <v>5.46</v>
      </c>
      <c r="G26" s="12">
        <v>219</v>
      </c>
      <c r="H26" s="8">
        <v>12.3</v>
      </c>
      <c r="I26" s="12">
        <v>0</v>
      </c>
    </row>
    <row r="27" spans="2:9" ht="15" customHeight="1" x14ac:dyDescent="0.2">
      <c r="B27" t="s">
        <v>108</v>
      </c>
      <c r="C27" s="12">
        <v>219</v>
      </c>
      <c r="D27" s="8">
        <v>5.9</v>
      </c>
      <c r="E27" s="12">
        <v>151</v>
      </c>
      <c r="F27" s="8">
        <v>7.85</v>
      </c>
      <c r="G27" s="12">
        <v>68</v>
      </c>
      <c r="H27" s="8">
        <v>3.82</v>
      </c>
      <c r="I27" s="12">
        <v>0</v>
      </c>
    </row>
    <row r="28" spans="2:9" ht="15" customHeight="1" x14ac:dyDescent="0.2">
      <c r="B28" t="s">
        <v>98</v>
      </c>
      <c r="C28" s="12">
        <v>172</v>
      </c>
      <c r="D28" s="8">
        <v>4.63</v>
      </c>
      <c r="E28" s="12">
        <v>28</v>
      </c>
      <c r="F28" s="8">
        <v>1.46</v>
      </c>
      <c r="G28" s="12">
        <v>144</v>
      </c>
      <c r="H28" s="8">
        <v>8.09</v>
      </c>
      <c r="I28" s="12">
        <v>0</v>
      </c>
    </row>
    <row r="29" spans="2:9" ht="15" customHeight="1" x14ac:dyDescent="0.2">
      <c r="B29" t="s">
        <v>99</v>
      </c>
      <c r="C29" s="12">
        <v>166</v>
      </c>
      <c r="D29" s="8">
        <v>4.47</v>
      </c>
      <c r="E29" s="12">
        <v>33</v>
      </c>
      <c r="F29" s="8">
        <v>1.72</v>
      </c>
      <c r="G29" s="12">
        <v>133</v>
      </c>
      <c r="H29" s="8">
        <v>7.47</v>
      </c>
      <c r="I29" s="12">
        <v>0</v>
      </c>
    </row>
    <row r="30" spans="2:9" ht="15" customHeight="1" x14ac:dyDescent="0.2">
      <c r="B30" t="s">
        <v>100</v>
      </c>
      <c r="C30" s="12">
        <v>154</v>
      </c>
      <c r="D30" s="8">
        <v>4.1500000000000004</v>
      </c>
      <c r="E30" s="12">
        <v>42</v>
      </c>
      <c r="F30" s="8">
        <v>2.1800000000000002</v>
      </c>
      <c r="G30" s="12">
        <v>112</v>
      </c>
      <c r="H30" s="8">
        <v>6.29</v>
      </c>
      <c r="I30" s="12">
        <v>0</v>
      </c>
    </row>
    <row r="31" spans="2:9" ht="15" customHeight="1" x14ac:dyDescent="0.2">
      <c r="B31" t="s">
        <v>106</v>
      </c>
      <c r="C31" s="12">
        <v>138</v>
      </c>
      <c r="D31" s="8">
        <v>3.72</v>
      </c>
      <c r="E31" s="12">
        <v>102</v>
      </c>
      <c r="F31" s="8">
        <v>5.3</v>
      </c>
      <c r="G31" s="12">
        <v>36</v>
      </c>
      <c r="H31" s="8">
        <v>2.02</v>
      </c>
      <c r="I31" s="12">
        <v>0</v>
      </c>
    </row>
    <row r="32" spans="2:9" ht="15" customHeight="1" x14ac:dyDescent="0.2">
      <c r="B32" t="s">
        <v>116</v>
      </c>
      <c r="C32" s="12">
        <v>132</v>
      </c>
      <c r="D32" s="8">
        <v>3.56</v>
      </c>
      <c r="E32" s="12">
        <v>115</v>
      </c>
      <c r="F32" s="8">
        <v>5.98</v>
      </c>
      <c r="G32" s="12">
        <v>17</v>
      </c>
      <c r="H32" s="8">
        <v>0.95</v>
      </c>
      <c r="I32" s="12">
        <v>0</v>
      </c>
    </row>
    <row r="33" spans="2:9" ht="15" customHeight="1" x14ac:dyDescent="0.2">
      <c r="B33" t="s">
        <v>101</v>
      </c>
      <c r="C33" s="12">
        <v>120</v>
      </c>
      <c r="D33" s="8">
        <v>3.23</v>
      </c>
      <c r="E33" s="12">
        <v>48</v>
      </c>
      <c r="F33" s="8">
        <v>2.4900000000000002</v>
      </c>
      <c r="G33" s="12">
        <v>72</v>
      </c>
      <c r="H33" s="8">
        <v>4.04</v>
      </c>
      <c r="I33" s="12">
        <v>0</v>
      </c>
    </row>
    <row r="34" spans="2:9" ht="15" customHeight="1" x14ac:dyDescent="0.2">
      <c r="B34" t="s">
        <v>107</v>
      </c>
      <c r="C34" s="12">
        <v>91</v>
      </c>
      <c r="D34" s="8">
        <v>2.4500000000000002</v>
      </c>
      <c r="E34" s="12">
        <v>53</v>
      </c>
      <c r="F34" s="8">
        <v>2.75</v>
      </c>
      <c r="G34" s="12">
        <v>38</v>
      </c>
      <c r="H34" s="8">
        <v>2.13</v>
      </c>
      <c r="I34" s="12">
        <v>0</v>
      </c>
    </row>
    <row r="35" spans="2:9" ht="15" customHeight="1" x14ac:dyDescent="0.2">
      <c r="B35" t="s">
        <v>115</v>
      </c>
      <c r="C35" s="12">
        <v>88</v>
      </c>
      <c r="D35" s="8">
        <v>2.37</v>
      </c>
      <c r="E35" s="12">
        <v>62</v>
      </c>
      <c r="F35" s="8">
        <v>3.22</v>
      </c>
      <c r="G35" s="12">
        <v>20</v>
      </c>
      <c r="H35" s="8">
        <v>1.1200000000000001</v>
      </c>
      <c r="I35" s="12">
        <v>5</v>
      </c>
    </row>
    <row r="36" spans="2:9" ht="15" customHeight="1" x14ac:dyDescent="0.2">
      <c r="B36" t="s">
        <v>127</v>
      </c>
      <c r="C36" s="12">
        <v>85</v>
      </c>
      <c r="D36" s="8">
        <v>2.29</v>
      </c>
      <c r="E36" s="12">
        <v>36</v>
      </c>
      <c r="F36" s="8">
        <v>1.87</v>
      </c>
      <c r="G36" s="12">
        <v>49</v>
      </c>
      <c r="H36" s="8">
        <v>2.75</v>
      </c>
      <c r="I36" s="12">
        <v>0</v>
      </c>
    </row>
    <row r="37" spans="2:9" ht="15" customHeight="1" x14ac:dyDescent="0.2">
      <c r="B37" t="s">
        <v>120</v>
      </c>
      <c r="C37" s="12">
        <v>83</v>
      </c>
      <c r="D37" s="8">
        <v>2.2400000000000002</v>
      </c>
      <c r="E37" s="12">
        <v>56</v>
      </c>
      <c r="F37" s="8">
        <v>2.91</v>
      </c>
      <c r="G37" s="12">
        <v>27</v>
      </c>
      <c r="H37" s="8">
        <v>1.52</v>
      </c>
      <c r="I37" s="12">
        <v>0</v>
      </c>
    </row>
    <row r="38" spans="2:9" ht="15" customHeight="1" x14ac:dyDescent="0.2">
      <c r="B38" t="s">
        <v>105</v>
      </c>
      <c r="C38" s="12">
        <v>81</v>
      </c>
      <c r="D38" s="8">
        <v>2.1800000000000002</v>
      </c>
      <c r="E38" s="12">
        <v>43</v>
      </c>
      <c r="F38" s="8">
        <v>2.23</v>
      </c>
      <c r="G38" s="12">
        <v>38</v>
      </c>
      <c r="H38" s="8">
        <v>2.13</v>
      </c>
      <c r="I38" s="12">
        <v>0</v>
      </c>
    </row>
    <row r="39" spans="2:9" ht="15" customHeight="1" x14ac:dyDescent="0.2">
      <c r="B39" t="s">
        <v>111</v>
      </c>
      <c r="C39" s="12">
        <v>78</v>
      </c>
      <c r="D39" s="8">
        <v>2.1</v>
      </c>
      <c r="E39" s="12">
        <v>47</v>
      </c>
      <c r="F39" s="8">
        <v>2.44</v>
      </c>
      <c r="G39" s="12">
        <v>31</v>
      </c>
      <c r="H39" s="8">
        <v>1.74</v>
      </c>
      <c r="I39" s="12">
        <v>0</v>
      </c>
    </row>
    <row r="40" spans="2:9" ht="15" customHeight="1" x14ac:dyDescent="0.2">
      <c r="B40" t="s">
        <v>121</v>
      </c>
      <c r="C40" s="12">
        <v>73</v>
      </c>
      <c r="D40" s="8">
        <v>1.97</v>
      </c>
      <c r="E40" s="12">
        <v>25</v>
      </c>
      <c r="F40" s="8">
        <v>1.3</v>
      </c>
      <c r="G40" s="12">
        <v>48</v>
      </c>
      <c r="H40" s="8">
        <v>2.7</v>
      </c>
      <c r="I40" s="12">
        <v>0</v>
      </c>
    </row>
    <row r="41" spans="2:9" ht="15" customHeight="1" x14ac:dyDescent="0.2">
      <c r="B41" t="s">
        <v>109</v>
      </c>
      <c r="C41" s="12">
        <v>63</v>
      </c>
      <c r="D41" s="8">
        <v>1.7</v>
      </c>
      <c r="E41" s="12">
        <v>12</v>
      </c>
      <c r="F41" s="8">
        <v>0.62</v>
      </c>
      <c r="G41" s="12">
        <v>51</v>
      </c>
      <c r="H41" s="8">
        <v>2.86</v>
      </c>
      <c r="I41" s="12">
        <v>0</v>
      </c>
    </row>
    <row r="42" spans="2:9" ht="15" customHeight="1" x14ac:dyDescent="0.2">
      <c r="B42" t="s">
        <v>103</v>
      </c>
      <c r="C42" s="12">
        <v>55</v>
      </c>
      <c r="D42" s="8">
        <v>1.48</v>
      </c>
      <c r="E42" s="12">
        <v>8</v>
      </c>
      <c r="F42" s="8">
        <v>0.42</v>
      </c>
      <c r="G42" s="12">
        <v>47</v>
      </c>
      <c r="H42" s="8">
        <v>2.64</v>
      </c>
      <c r="I42" s="12">
        <v>0</v>
      </c>
    </row>
    <row r="43" spans="2:9" ht="15" customHeight="1" x14ac:dyDescent="0.2">
      <c r="B43" t="s">
        <v>104</v>
      </c>
      <c r="C43" s="12">
        <v>54</v>
      </c>
      <c r="D43" s="8">
        <v>1.45</v>
      </c>
      <c r="E43" s="12">
        <v>14</v>
      </c>
      <c r="F43" s="8">
        <v>0.73</v>
      </c>
      <c r="G43" s="12">
        <v>40</v>
      </c>
      <c r="H43" s="8">
        <v>2.25</v>
      </c>
      <c r="I43" s="12">
        <v>0</v>
      </c>
    </row>
    <row r="46" spans="2:9" ht="33" customHeight="1" x14ac:dyDescent="0.2">
      <c r="B46" t="s">
        <v>273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160</v>
      </c>
      <c r="C47" s="12">
        <v>157</v>
      </c>
      <c r="D47" s="8">
        <v>4.2300000000000004</v>
      </c>
      <c r="E47" s="12">
        <v>47</v>
      </c>
      <c r="F47" s="8">
        <v>2.44</v>
      </c>
      <c r="G47" s="12">
        <v>110</v>
      </c>
      <c r="H47" s="8">
        <v>6.18</v>
      </c>
      <c r="I47" s="12">
        <v>0</v>
      </c>
    </row>
    <row r="48" spans="2:9" ht="15" customHeight="1" x14ac:dyDescent="0.2">
      <c r="B48" t="s">
        <v>169</v>
      </c>
      <c r="C48" s="12">
        <v>145</v>
      </c>
      <c r="D48" s="8">
        <v>3.91</v>
      </c>
      <c r="E48" s="12">
        <v>134</v>
      </c>
      <c r="F48" s="8">
        <v>6.96</v>
      </c>
      <c r="G48" s="12">
        <v>11</v>
      </c>
      <c r="H48" s="8">
        <v>0.62</v>
      </c>
      <c r="I48" s="12">
        <v>0</v>
      </c>
    </row>
    <row r="49" spans="2:9" ht="15" customHeight="1" x14ac:dyDescent="0.2">
      <c r="B49" t="s">
        <v>165</v>
      </c>
      <c r="C49" s="12">
        <v>127</v>
      </c>
      <c r="D49" s="8">
        <v>3.42</v>
      </c>
      <c r="E49" s="12">
        <v>122</v>
      </c>
      <c r="F49" s="8">
        <v>6.34</v>
      </c>
      <c r="G49" s="12">
        <v>5</v>
      </c>
      <c r="H49" s="8">
        <v>0.28000000000000003</v>
      </c>
      <c r="I49" s="12">
        <v>0</v>
      </c>
    </row>
    <row r="50" spans="2:9" ht="15" customHeight="1" x14ac:dyDescent="0.2">
      <c r="B50" t="s">
        <v>167</v>
      </c>
      <c r="C50" s="12">
        <v>112</v>
      </c>
      <c r="D50" s="8">
        <v>3.02</v>
      </c>
      <c r="E50" s="12">
        <v>108</v>
      </c>
      <c r="F50" s="8">
        <v>5.61</v>
      </c>
      <c r="G50" s="12">
        <v>4</v>
      </c>
      <c r="H50" s="8">
        <v>0.22</v>
      </c>
      <c r="I50" s="12">
        <v>0</v>
      </c>
    </row>
    <row r="51" spans="2:9" ht="15" customHeight="1" x14ac:dyDescent="0.2">
      <c r="B51" t="s">
        <v>168</v>
      </c>
      <c r="C51" s="12">
        <v>98</v>
      </c>
      <c r="D51" s="8">
        <v>2.64</v>
      </c>
      <c r="E51" s="12">
        <v>96</v>
      </c>
      <c r="F51" s="8">
        <v>4.99</v>
      </c>
      <c r="G51" s="12">
        <v>2</v>
      </c>
      <c r="H51" s="8">
        <v>0.11</v>
      </c>
      <c r="I51" s="12">
        <v>0</v>
      </c>
    </row>
    <row r="52" spans="2:9" ht="15" customHeight="1" x14ac:dyDescent="0.2">
      <c r="B52" t="s">
        <v>171</v>
      </c>
      <c r="C52" s="12">
        <v>98</v>
      </c>
      <c r="D52" s="8">
        <v>2.64</v>
      </c>
      <c r="E52" s="12">
        <v>90</v>
      </c>
      <c r="F52" s="8">
        <v>4.68</v>
      </c>
      <c r="G52" s="12">
        <v>8</v>
      </c>
      <c r="H52" s="8">
        <v>0.45</v>
      </c>
      <c r="I52" s="12">
        <v>0</v>
      </c>
    </row>
    <row r="53" spans="2:9" ht="15" customHeight="1" x14ac:dyDescent="0.2">
      <c r="B53" t="s">
        <v>157</v>
      </c>
      <c r="C53" s="12">
        <v>94</v>
      </c>
      <c r="D53" s="8">
        <v>2.5299999999999998</v>
      </c>
      <c r="E53" s="12">
        <v>79</v>
      </c>
      <c r="F53" s="8">
        <v>4.1100000000000003</v>
      </c>
      <c r="G53" s="12">
        <v>15</v>
      </c>
      <c r="H53" s="8">
        <v>0.84</v>
      </c>
      <c r="I53" s="12">
        <v>0</v>
      </c>
    </row>
    <row r="54" spans="2:9" ht="15" customHeight="1" x14ac:dyDescent="0.2">
      <c r="B54" t="s">
        <v>153</v>
      </c>
      <c r="C54" s="12">
        <v>69</v>
      </c>
      <c r="D54" s="8">
        <v>1.86</v>
      </c>
      <c r="E54" s="12">
        <v>22</v>
      </c>
      <c r="F54" s="8">
        <v>1.1399999999999999</v>
      </c>
      <c r="G54" s="12">
        <v>47</v>
      </c>
      <c r="H54" s="8">
        <v>2.64</v>
      </c>
      <c r="I54" s="12">
        <v>0</v>
      </c>
    </row>
    <row r="55" spans="2:9" ht="15" customHeight="1" x14ac:dyDescent="0.2">
      <c r="B55" t="s">
        <v>170</v>
      </c>
      <c r="C55" s="12">
        <v>67</v>
      </c>
      <c r="D55" s="8">
        <v>1.8</v>
      </c>
      <c r="E55" s="12">
        <v>51</v>
      </c>
      <c r="F55" s="8">
        <v>2.65</v>
      </c>
      <c r="G55" s="12">
        <v>12</v>
      </c>
      <c r="H55" s="8">
        <v>0.67</v>
      </c>
      <c r="I55" s="12">
        <v>4</v>
      </c>
    </row>
    <row r="56" spans="2:9" ht="15" customHeight="1" x14ac:dyDescent="0.2">
      <c r="B56" t="s">
        <v>164</v>
      </c>
      <c r="C56" s="12">
        <v>62</v>
      </c>
      <c r="D56" s="8">
        <v>1.67</v>
      </c>
      <c r="E56" s="12">
        <v>54</v>
      </c>
      <c r="F56" s="8">
        <v>2.81</v>
      </c>
      <c r="G56" s="12">
        <v>8</v>
      </c>
      <c r="H56" s="8">
        <v>0.45</v>
      </c>
      <c r="I56" s="12">
        <v>0</v>
      </c>
    </row>
    <row r="57" spans="2:9" ht="15" customHeight="1" x14ac:dyDescent="0.2">
      <c r="B57" t="s">
        <v>152</v>
      </c>
      <c r="C57" s="12">
        <v>60</v>
      </c>
      <c r="D57" s="8">
        <v>1.62</v>
      </c>
      <c r="E57" s="12">
        <v>12</v>
      </c>
      <c r="F57" s="8">
        <v>0.62</v>
      </c>
      <c r="G57" s="12">
        <v>48</v>
      </c>
      <c r="H57" s="8">
        <v>2.7</v>
      </c>
      <c r="I57" s="12">
        <v>0</v>
      </c>
    </row>
    <row r="58" spans="2:9" ht="15" customHeight="1" x14ac:dyDescent="0.2">
      <c r="B58" t="s">
        <v>161</v>
      </c>
      <c r="C58" s="12">
        <v>60</v>
      </c>
      <c r="D58" s="8">
        <v>1.62</v>
      </c>
      <c r="E58" s="12">
        <v>41</v>
      </c>
      <c r="F58" s="8">
        <v>2.13</v>
      </c>
      <c r="G58" s="12">
        <v>19</v>
      </c>
      <c r="H58" s="8">
        <v>1.07</v>
      </c>
      <c r="I58" s="12">
        <v>0</v>
      </c>
    </row>
    <row r="59" spans="2:9" ht="15" customHeight="1" x14ac:dyDescent="0.2">
      <c r="B59" t="s">
        <v>174</v>
      </c>
      <c r="C59" s="12">
        <v>59</v>
      </c>
      <c r="D59" s="8">
        <v>1.59</v>
      </c>
      <c r="E59" s="12">
        <v>19</v>
      </c>
      <c r="F59" s="8">
        <v>0.99</v>
      </c>
      <c r="G59" s="12">
        <v>40</v>
      </c>
      <c r="H59" s="8">
        <v>2.25</v>
      </c>
      <c r="I59" s="12">
        <v>0</v>
      </c>
    </row>
    <row r="60" spans="2:9" ht="15" customHeight="1" x14ac:dyDescent="0.2">
      <c r="B60" t="s">
        <v>159</v>
      </c>
      <c r="C60" s="12">
        <v>54</v>
      </c>
      <c r="D60" s="8">
        <v>1.45</v>
      </c>
      <c r="E60" s="12">
        <v>12</v>
      </c>
      <c r="F60" s="8">
        <v>0.62</v>
      </c>
      <c r="G60" s="12">
        <v>42</v>
      </c>
      <c r="H60" s="8">
        <v>2.36</v>
      </c>
      <c r="I60" s="12">
        <v>0</v>
      </c>
    </row>
    <row r="61" spans="2:9" ht="15" customHeight="1" x14ac:dyDescent="0.2">
      <c r="B61" t="s">
        <v>166</v>
      </c>
      <c r="C61" s="12">
        <v>54</v>
      </c>
      <c r="D61" s="8">
        <v>1.45</v>
      </c>
      <c r="E61" s="12">
        <v>51</v>
      </c>
      <c r="F61" s="8">
        <v>2.65</v>
      </c>
      <c r="G61" s="12">
        <v>3</v>
      </c>
      <c r="H61" s="8">
        <v>0.17</v>
      </c>
      <c r="I61" s="12">
        <v>0</v>
      </c>
    </row>
    <row r="62" spans="2:9" ht="15" customHeight="1" x14ac:dyDescent="0.2">
      <c r="B62" t="s">
        <v>175</v>
      </c>
      <c r="C62" s="12">
        <v>53</v>
      </c>
      <c r="D62" s="8">
        <v>1.43</v>
      </c>
      <c r="E62" s="12">
        <v>22</v>
      </c>
      <c r="F62" s="8">
        <v>1.1399999999999999</v>
      </c>
      <c r="G62" s="12">
        <v>31</v>
      </c>
      <c r="H62" s="8">
        <v>1.74</v>
      </c>
      <c r="I62" s="12">
        <v>0</v>
      </c>
    </row>
    <row r="63" spans="2:9" ht="15" customHeight="1" x14ac:dyDescent="0.2">
      <c r="B63" t="s">
        <v>162</v>
      </c>
      <c r="C63" s="12">
        <v>53</v>
      </c>
      <c r="D63" s="8">
        <v>1.43</v>
      </c>
      <c r="E63" s="12">
        <v>5</v>
      </c>
      <c r="F63" s="8">
        <v>0.26</v>
      </c>
      <c r="G63" s="12">
        <v>48</v>
      </c>
      <c r="H63" s="8">
        <v>2.7</v>
      </c>
      <c r="I63" s="12">
        <v>0</v>
      </c>
    </row>
    <row r="64" spans="2:9" ht="15" customHeight="1" x14ac:dyDescent="0.2">
      <c r="B64" t="s">
        <v>156</v>
      </c>
      <c r="C64" s="12">
        <v>52</v>
      </c>
      <c r="D64" s="8">
        <v>1.4</v>
      </c>
      <c r="E64" s="12">
        <v>37</v>
      </c>
      <c r="F64" s="8">
        <v>1.92</v>
      </c>
      <c r="G64" s="12">
        <v>15</v>
      </c>
      <c r="H64" s="8">
        <v>0.84</v>
      </c>
      <c r="I64" s="12">
        <v>0</v>
      </c>
    </row>
    <row r="65" spans="2:9" ht="15" customHeight="1" x14ac:dyDescent="0.2">
      <c r="B65" t="s">
        <v>210</v>
      </c>
      <c r="C65" s="12">
        <v>49</v>
      </c>
      <c r="D65" s="8">
        <v>1.32</v>
      </c>
      <c r="E65" s="12">
        <v>9</v>
      </c>
      <c r="F65" s="8">
        <v>0.47</v>
      </c>
      <c r="G65" s="12">
        <v>40</v>
      </c>
      <c r="H65" s="8">
        <v>2.25</v>
      </c>
      <c r="I65" s="12">
        <v>0</v>
      </c>
    </row>
    <row r="66" spans="2:9" ht="15" customHeight="1" x14ac:dyDescent="0.2">
      <c r="B66" t="s">
        <v>205</v>
      </c>
      <c r="C66" s="12">
        <v>48</v>
      </c>
      <c r="D66" s="8">
        <v>1.29</v>
      </c>
      <c r="E66" s="12">
        <v>35</v>
      </c>
      <c r="F66" s="8">
        <v>1.82</v>
      </c>
      <c r="G66" s="12">
        <v>13</v>
      </c>
      <c r="H66" s="8">
        <v>0.73</v>
      </c>
      <c r="I66" s="12">
        <v>0</v>
      </c>
    </row>
    <row r="67" spans="2:9" ht="15" customHeight="1" x14ac:dyDescent="0.2">
      <c r="B67" t="s">
        <v>176</v>
      </c>
      <c r="C67" s="12">
        <v>48</v>
      </c>
      <c r="D67" s="8">
        <v>1.29</v>
      </c>
      <c r="E67" s="12">
        <v>24</v>
      </c>
      <c r="F67" s="8">
        <v>1.25</v>
      </c>
      <c r="G67" s="12">
        <v>24</v>
      </c>
      <c r="H67" s="8">
        <v>1.35</v>
      </c>
      <c r="I67" s="12">
        <v>0</v>
      </c>
    </row>
    <row r="69" spans="2:9" ht="15" customHeight="1" x14ac:dyDescent="0.2">
      <c r="B69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70ED8-6AA7-4B4C-9FFB-4D6618290C08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316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720</v>
      </c>
      <c r="D6" s="8">
        <v>13.59</v>
      </c>
      <c r="E6" s="12">
        <v>135</v>
      </c>
      <c r="F6" s="8">
        <v>5.12</v>
      </c>
      <c r="G6" s="12">
        <v>585</v>
      </c>
      <c r="H6" s="8">
        <v>22.18</v>
      </c>
      <c r="I6" s="12">
        <v>0</v>
      </c>
    </row>
    <row r="7" spans="2:9" ht="15" customHeight="1" x14ac:dyDescent="0.2">
      <c r="B7" t="s">
        <v>77</v>
      </c>
      <c r="C7" s="12">
        <v>253</v>
      </c>
      <c r="D7" s="8">
        <v>4.7699999999999996</v>
      </c>
      <c r="E7" s="12">
        <v>61</v>
      </c>
      <c r="F7" s="8">
        <v>2.31</v>
      </c>
      <c r="G7" s="12">
        <v>192</v>
      </c>
      <c r="H7" s="8">
        <v>7.28</v>
      </c>
      <c r="I7" s="12">
        <v>0</v>
      </c>
    </row>
    <row r="8" spans="2:9" ht="15" customHeight="1" x14ac:dyDescent="0.2">
      <c r="B8" t="s">
        <v>78</v>
      </c>
      <c r="C8" s="12">
        <v>2</v>
      </c>
      <c r="D8" s="8">
        <v>0.04</v>
      </c>
      <c r="E8" s="12">
        <v>0</v>
      </c>
      <c r="F8" s="8">
        <v>0</v>
      </c>
      <c r="G8" s="12">
        <v>2</v>
      </c>
      <c r="H8" s="8">
        <v>0.08</v>
      </c>
      <c r="I8" s="12">
        <v>0</v>
      </c>
    </row>
    <row r="9" spans="2:9" ht="15" customHeight="1" x14ac:dyDescent="0.2">
      <c r="B9" t="s">
        <v>79</v>
      </c>
      <c r="C9" s="12">
        <v>54</v>
      </c>
      <c r="D9" s="8">
        <v>1.02</v>
      </c>
      <c r="E9" s="12">
        <v>6</v>
      </c>
      <c r="F9" s="8">
        <v>0.23</v>
      </c>
      <c r="G9" s="12">
        <v>48</v>
      </c>
      <c r="H9" s="8">
        <v>1.82</v>
      </c>
      <c r="I9" s="12">
        <v>0</v>
      </c>
    </row>
    <row r="10" spans="2:9" ht="15" customHeight="1" x14ac:dyDescent="0.2">
      <c r="B10" t="s">
        <v>80</v>
      </c>
      <c r="C10" s="12">
        <v>37</v>
      </c>
      <c r="D10" s="8">
        <v>0.7</v>
      </c>
      <c r="E10" s="12">
        <v>3</v>
      </c>
      <c r="F10" s="8">
        <v>0.11</v>
      </c>
      <c r="G10" s="12">
        <v>34</v>
      </c>
      <c r="H10" s="8">
        <v>1.29</v>
      </c>
      <c r="I10" s="12">
        <v>0</v>
      </c>
    </row>
    <row r="11" spans="2:9" ht="15" customHeight="1" x14ac:dyDescent="0.2">
      <c r="B11" t="s">
        <v>81</v>
      </c>
      <c r="C11" s="12">
        <v>1083</v>
      </c>
      <c r="D11" s="8">
        <v>20.440000000000001</v>
      </c>
      <c r="E11" s="12">
        <v>532</v>
      </c>
      <c r="F11" s="8">
        <v>20.18</v>
      </c>
      <c r="G11" s="12">
        <v>550</v>
      </c>
      <c r="H11" s="8">
        <v>20.86</v>
      </c>
      <c r="I11" s="12">
        <v>1</v>
      </c>
    </row>
    <row r="12" spans="2:9" ht="15" customHeight="1" x14ac:dyDescent="0.2">
      <c r="B12" t="s">
        <v>82</v>
      </c>
      <c r="C12" s="12">
        <v>33</v>
      </c>
      <c r="D12" s="8">
        <v>0.62</v>
      </c>
      <c r="E12" s="12">
        <v>8</v>
      </c>
      <c r="F12" s="8">
        <v>0.3</v>
      </c>
      <c r="G12" s="12">
        <v>25</v>
      </c>
      <c r="H12" s="8">
        <v>0.95</v>
      </c>
      <c r="I12" s="12">
        <v>0</v>
      </c>
    </row>
    <row r="13" spans="2:9" ht="15" customHeight="1" x14ac:dyDescent="0.2">
      <c r="B13" t="s">
        <v>83</v>
      </c>
      <c r="C13" s="12">
        <v>625</v>
      </c>
      <c r="D13" s="8">
        <v>11.79</v>
      </c>
      <c r="E13" s="12">
        <v>161</v>
      </c>
      <c r="F13" s="8">
        <v>6.11</v>
      </c>
      <c r="G13" s="12">
        <v>463</v>
      </c>
      <c r="H13" s="8">
        <v>17.559999999999999</v>
      </c>
      <c r="I13" s="12">
        <v>1</v>
      </c>
    </row>
    <row r="14" spans="2:9" ht="15" customHeight="1" x14ac:dyDescent="0.2">
      <c r="B14" t="s">
        <v>84</v>
      </c>
      <c r="C14" s="12">
        <v>327</v>
      </c>
      <c r="D14" s="8">
        <v>6.17</v>
      </c>
      <c r="E14" s="12">
        <v>157</v>
      </c>
      <c r="F14" s="8">
        <v>5.96</v>
      </c>
      <c r="G14" s="12">
        <v>167</v>
      </c>
      <c r="H14" s="8">
        <v>6.33</v>
      </c>
      <c r="I14" s="12">
        <v>1</v>
      </c>
    </row>
    <row r="15" spans="2:9" ht="15" customHeight="1" x14ac:dyDescent="0.2">
      <c r="B15" t="s">
        <v>85</v>
      </c>
      <c r="C15" s="12">
        <v>611</v>
      </c>
      <c r="D15" s="8">
        <v>11.53</v>
      </c>
      <c r="E15" s="12">
        <v>506</v>
      </c>
      <c r="F15" s="8">
        <v>19.2</v>
      </c>
      <c r="G15" s="12">
        <v>103</v>
      </c>
      <c r="H15" s="8">
        <v>3.91</v>
      </c>
      <c r="I15" s="12">
        <v>0</v>
      </c>
    </row>
    <row r="16" spans="2:9" ht="15" customHeight="1" x14ac:dyDescent="0.2">
      <c r="B16" t="s">
        <v>86</v>
      </c>
      <c r="C16" s="12">
        <v>735</v>
      </c>
      <c r="D16" s="8">
        <v>13.87</v>
      </c>
      <c r="E16" s="12">
        <v>587</v>
      </c>
      <c r="F16" s="8">
        <v>22.27</v>
      </c>
      <c r="G16" s="12">
        <v>148</v>
      </c>
      <c r="H16" s="8">
        <v>5.61</v>
      </c>
      <c r="I16" s="12">
        <v>0</v>
      </c>
    </row>
    <row r="17" spans="2:9" ht="15" customHeight="1" x14ac:dyDescent="0.2">
      <c r="B17" t="s">
        <v>87</v>
      </c>
      <c r="C17" s="12">
        <v>274</v>
      </c>
      <c r="D17" s="8">
        <v>5.17</v>
      </c>
      <c r="E17" s="12">
        <v>198</v>
      </c>
      <c r="F17" s="8">
        <v>7.51</v>
      </c>
      <c r="G17" s="12">
        <v>69</v>
      </c>
      <c r="H17" s="8">
        <v>2.62</v>
      </c>
      <c r="I17" s="12">
        <v>1</v>
      </c>
    </row>
    <row r="18" spans="2:9" ht="15" customHeight="1" x14ac:dyDescent="0.2">
      <c r="B18" t="s">
        <v>88</v>
      </c>
      <c r="C18" s="12">
        <v>389</v>
      </c>
      <c r="D18" s="8">
        <v>7.34</v>
      </c>
      <c r="E18" s="12">
        <v>238</v>
      </c>
      <c r="F18" s="8">
        <v>9.0299999999999994</v>
      </c>
      <c r="G18" s="12">
        <v>142</v>
      </c>
      <c r="H18" s="8">
        <v>5.38</v>
      </c>
      <c r="I18" s="12">
        <v>1</v>
      </c>
    </row>
    <row r="19" spans="2:9" ht="15" customHeight="1" x14ac:dyDescent="0.2">
      <c r="B19" t="s">
        <v>89</v>
      </c>
      <c r="C19" s="12">
        <v>156</v>
      </c>
      <c r="D19" s="8">
        <v>2.94</v>
      </c>
      <c r="E19" s="12">
        <v>44</v>
      </c>
      <c r="F19" s="8">
        <v>1.67</v>
      </c>
      <c r="G19" s="12">
        <v>109</v>
      </c>
      <c r="H19" s="8">
        <v>4.13</v>
      </c>
      <c r="I19" s="12">
        <v>3</v>
      </c>
    </row>
    <row r="20" spans="2:9" ht="15" customHeight="1" x14ac:dyDescent="0.2">
      <c r="B20" s="9" t="s">
        <v>271</v>
      </c>
      <c r="C20" s="12">
        <f>SUM(LTBL_27210[総数／事業所数])</f>
        <v>5299</v>
      </c>
      <c r="E20" s="12">
        <f>SUBTOTAL(109,LTBL_27210[個人／事業所数])</f>
        <v>2636</v>
      </c>
      <c r="G20" s="12">
        <f>SUBTOTAL(109,LTBL_27210[法人／事業所数])</f>
        <v>2637</v>
      </c>
      <c r="I20" s="12">
        <f>SUBTOTAL(109,LTBL_27210[法人以外の団体／事業所数])</f>
        <v>8</v>
      </c>
    </row>
    <row r="21" spans="2:9" ht="15" customHeight="1" x14ac:dyDescent="0.2">
      <c r="E21" s="11">
        <f>LTBL_27210[[#Totals],[個人／事業所数]]/LTBL_27210[[#Totals],[総数／事業所数]]</f>
        <v>0.49745234949990563</v>
      </c>
      <c r="G21" s="11">
        <f>LTBL_27210[[#Totals],[法人／事業所数]]/LTBL_27210[[#Totals],[総数／事業所数]]</f>
        <v>0.49764106435176447</v>
      </c>
      <c r="I21" s="11">
        <f>LTBL_27210[[#Totals],[法人以外の団体／事業所数]]/LTBL_27210[[#Totals],[総数／事業所数]]</f>
        <v>1.5097188148707303E-3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114</v>
      </c>
      <c r="C24" s="12">
        <v>630</v>
      </c>
      <c r="D24" s="8">
        <v>11.89</v>
      </c>
      <c r="E24" s="12">
        <v>530</v>
      </c>
      <c r="F24" s="8">
        <v>20.11</v>
      </c>
      <c r="G24" s="12">
        <v>100</v>
      </c>
      <c r="H24" s="8">
        <v>3.79</v>
      </c>
      <c r="I24" s="12">
        <v>0</v>
      </c>
    </row>
    <row r="25" spans="2:9" ht="15" customHeight="1" x14ac:dyDescent="0.2">
      <c r="B25" t="s">
        <v>113</v>
      </c>
      <c r="C25" s="12">
        <v>552</v>
      </c>
      <c r="D25" s="8">
        <v>10.42</v>
      </c>
      <c r="E25" s="12">
        <v>492</v>
      </c>
      <c r="F25" s="8">
        <v>18.66</v>
      </c>
      <c r="G25" s="12">
        <v>60</v>
      </c>
      <c r="H25" s="8">
        <v>2.2799999999999998</v>
      </c>
      <c r="I25" s="12">
        <v>0</v>
      </c>
    </row>
    <row r="26" spans="2:9" ht="15" customHeight="1" x14ac:dyDescent="0.2">
      <c r="B26" t="s">
        <v>110</v>
      </c>
      <c r="C26" s="12">
        <v>480</v>
      </c>
      <c r="D26" s="8">
        <v>9.06</v>
      </c>
      <c r="E26" s="12">
        <v>129</v>
      </c>
      <c r="F26" s="8">
        <v>4.8899999999999997</v>
      </c>
      <c r="G26" s="12">
        <v>351</v>
      </c>
      <c r="H26" s="8">
        <v>13.31</v>
      </c>
      <c r="I26" s="12">
        <v>0</v>
      </c>
    </row>
    <row r="27" spans="2:9" ht="15" customHeight="1" x14ac:dyDescent="0.2">
      <c r="B27" t="s">
        <v>98</v>
      </c>
      <c r="C27" s="12">
        <v>332</v>
      </c>
      <c r="D27" s="8">
        <v>6.27</v>
      </c>
      <c r="E27" s="12">
        <v>56</v>
      </c>
      <c r="F27" s="8">
        <v>2.12</v>
      </c>
      <c r="G27" s="12">
        <v>276</v>
      </c>
      <c r="H27" s="8">
        <v>10.47</v>
      </c>
      <c r="I27" s="12">
        <v>0</v>
      </c>
    </row>
    <row r="28" spans="2:9" ht="15" customHeight="1" x14ac:dyDescent="0.2">
      <c r="B28" t="s">
        <v>108</v>
      </c>
      <c r="C28" s="12">
        <v>292</v>
      </c>
      <c r="D28" s="8">
        <v>5.51</v>
      </c>
      <c r="E28" s="12">
        <v>152</v>
      </c>
      <c r="F28" s="8">
        <v>5.77</v>
      </c>
      <c r="G28" s="12">
        <v>140</v>
      </c>
      <c r="H28" s="8">
        <v>5.31</v>
      </c>
      <c r="I28" s="12">
        <v>0</v>
      </c>
    </row>
    <row r="29" spans="2:9" ht="15" customHeight="1" x14ac:dyDescent="0.2">
      <c r="B29" t="s">
        <v>116</v>
      </c>
      <c r="C29" s="12">
        <v>277</v>
      </c>
      <c r="D29" s="8">
        <v>5.23</v>
      </c>
      <c r="E29" s="12">
        <v>236</v>
      </c>
      <c r="F29" s="8">
        <v>8.9499999999999993</v>
      </c>
      <c r="G29" s="12">
        <v>41</v>
      </c>
      <c r="H29" s="8">
        <v>1.55</v>
      </c>
      <c r="I29" s="12">
        <v>0</v>
      </c>
    </row>
    <row r="30" spans="2:9" ht="15" customHeight="1" x14ac:dyDescent="0.2">
      <c r="B30" t="s">
        <v>115</v>
      </c>
      <c r="C30" s="12">
        <v>274</v>
      </c>
      <c r="D30" s="8">
        <v>5.17</v>
      </c>
      <c r="E30" s="12">
        <v>198</v>
      </c>
      <c r="F30" s="8">
        <v>7.51</v>
      </c>
      <c r="G30" s="12">
        <v>69</v>
      </c>
      <c r="H30" s="8">
        <v>2.62</v>
      </c>
      <c r="I30" s="12">
        <v>1</v>
      </c>
    </row>
    <row r="31" spans="2:9" ht="15" customHeight="1" x14ac:dyDescent="0.2">
      <c r="B31" t="s">
        <v>106</v>
      </c>
      <c r="C31" s="12">
        <v>197</v>
      </c>
      <c r="D31" s="8">
        <v>3.72</v>
      </c>
      <c r="E31" s="12">
        <v>150</v>
      </c>
      <c r="F31" s="8">
        <v>5.69</v>
      </c>
      <c r="G31" s="12">
        <v>47</v>
      </c>
      <c r="H31" s="8">
        <v>1.78</v>
      </c>
      <c r="I31" s="12">
        <v>0</v>
      </c>
    </row>
    <row r="32" spans="2:9" ht="15" customHeight="1" x14ac:dyDescent="0.2">
      <c r="B32" t="s">
        <v>111</v>
      </c>
      <c r="C32" s="12">
        <v>197</v>
      </c>
      <c r="D32" s="8">
        <v>3.72</v>
      </c>
      <c r="E32" s="12">
        <v>114</v>
      </c>
      <c r="F32" s="8">
        <v>4.32</v>
      </c>
      <c r="G32" s="12">
        <v>83</v>
      </c>
      <c r="H32" s="8">
        <v>3.15</v>
      </c>
      <c r="I32" s="12">
        <v>0</v>
      </c>
    </row>
    <row r="33" spans="2:9" ht="15" customHeight="1" x14ac:dyDescent="0.2">
      <c r="B33" t="s">
        <v>100</v>
      </c>
      <c r="C33" s="12">
        <v>195</v>
      </c>
      <c r="D33" s="8">
        <v>3.68</v>
      </c>
      <c r="E33" s="12">
        <v>32</v>
      </c>
      <c r="F33" s="8">
        <v>1.21</v>
      </c>
      <c r="G33" s="12">
        <v>163</v>
      </c>
      <c r="H33" s="8">
        <v>6.18</v>
      </c>
      <c r="I33" s="12">
        <v>0</v>
      </c>
    </row>
    <row r="34" spans="2:9" ht="15" customHeight="1" x14ac:dyDescent="0.2">
      <c r="B34" t="s">
        <v>99</v>
      </c>
      <c r="C34" s="12">
        <v>193</v>
      </c>
      <c r="D34" s="8">
        <v>3.64</v>
      </c>
      <c r="E34" s="12">
        <v>47</v>
      </c>
      <c r="F34" s="8">
        <v>1.78</v>
      </c>
      <c r="G34" s="12">
        <v>146</v>
      </c>
      <c r="H34" s="8">
        <v>5.54</v>
      </c>
      <c r="I34" s="12">
        <v>0</v>
      </c>
    </row>
    <row r="35" spans="2:9" ht="15" customHeight="1" x14ac:dyDescent="0.2">
      <c r="B35" t="s">
        <v>107</v>
      </c>
      <c r="C35" s="12">
        <v>172</v>
      </c>
      <c r="D35" s="8">
        <v>3.25</v>
      </c>
      <c r="E35" s="12">
        <v>116</v>
      </c>
      <c r="F35" s="8">
        <v>4.4000000000000004</v>
      </c>
      <c r="G35" s="12">
        <v>56</v>
      </c>
      <c r="H35" s="8">
        <v>2.12</v>
      </c>
      <c r="I35" s="12">
        <v>0</v>
      </c>
    </row>
    <row r="36" spans="2:9" ht="15" customHeight="1" x14ac:dyDescent="0.2">
      <c r="B36" t="s">
        <v>105</v>
      </c>
      <c r="C36" s="12">
        <v>132</v>
      </c>
      <c r="D36" s="8">
        <v>2.4900000000000002</v>
      </c>
      <c r="E36" s="12">
        <v>72</v>
      </c>
      <c r="F36" s="8">
        <v>2.73</v>
      </c>
      <c r="G36" s="12">
        <v>59</v>
      </c>
      <c r="H36" s="8">
        <v>2.2400000000000002</v>
      </c>
      <c r="I36" s="12">
        <v>1</v>
      </c>
    </row>
    <row r="37" spans="2:9" ht="15" customHeight="1" x14ac:dyDescent="0.2">
      <c r="B37" t="s">
        <v>109</v>
      </c>
      <c r="C37" s="12">
        <v>124</v>
      </c>
      <c r="D37" s="8">
        <v>2.34</v>
      </c>
      <c r="E37" s="12">
        <v>29</v>
      </c>
      <c r="F37" s="8">
        <v>1.1000000000000001</v>
      </c>
      <c r="G37" s="12">
        <v>94</v>
      </c>
      <c r="H37" s="8">
        <v>3.56</v>
      </c>
      <c r="I37" s="12">
        <v>1</v>
      </c>
    </row>
    <row r="38" spans="2:9" ht="15" customHeight="1" x14ac:dyDescent="0.2">
      <c r="B38" t="s">
        <v>112</v>
      </c>
      <c r="C38" s="12">
        <v>120</v>
      </c>
      <c r="D38" s="8">
        <v>2.2599999999999998</v>
      </c>
      <c r="E38" s="12">
        <v>40</v>
      </c>
      <c r="F38" s="8">
        <v>1.52</v>
      </c>
      <c r="G38" s="12">
        <v>77</v>
      </c>
      <c r="H38" s="8">
        <v>2.92</v>
      </c>
      <c r="I38" s="12">
        <v>1</v>
      </c>
    </row>
    <row r="39" spans="2:9" ht="15" customHeight="1" x14ac:dyDescent="0.2">
      <c r="B39" t="s">
        <v>117</v>
      </c>
      <c r="C39" s="12">
        <v>112</v>
      </c>
      <c r="D39" s="8">
        <v>2.11</v>
      </c>
      <c r="E39" s="12">
        <v>2</v>
      </c>
      <c r="F39" s="8">
        <v>0.08</v>
      </c>
      <c r="G39" s="12">
        <v>101</v>
      </c>
      <c r="H39" s="8">
        <v>3.83</v>
      </c>
      <c r="I39" s="12">
        <v>1</v>
      </c>
    </row>
    <row r="40" spans="2:9" ht="15" customHeight="1" x14ac:dyDescent="0.2">
      <c r="B40" t="s">
        <v>130</v>
      </c>
      <c r="C40" s="12">
        <v>73</v>
      </c>
      <c r="D40" s="8">
        <v>1.38</v>
      </c>
      <c r="E40" s="12">
        <v>38</v>
      </c>
      <c r="F40" s="8">
        <v>1.44</v>
      </c>
      <c r="G40" s="12">
        <v>35</v>
      </c>
      <c r="H40" s="8">
        <v>1.33</v>
      </c>
      <c r="I40" s="12">
        <v>0</v>
      </c>
    </row>
    <row r="41" spans="2:9" ht="15" customHeight="1" x14ac:dyDescent="0.2">
      <c r="B41" t="s">
        <v>103</v>
      </c>
      <c r="C41" s="12">
        <v>72</v>
      </c>
      <c r="D41" s="8">
        <v>1.36</v>
      </c>
      <c r="E41" s="12">
        <v>5</v>
      </c>
      <c r="F41" s="8">
        <v>0.19</v>
      </c>
      <c r="G41" s="12">
        <v>67</v>
      </c>
      <c r="H41" s="8">
        <v>2.54</v>
      </c>
      <c r="I41" s="12">
        <v>0</v>
      </c>
    </row>
    <row r="42" spans="2:9" ht="15" customHeight="1" x14ac:dyDescent="0.2">
      <c r="B42" t="s">
        <v>102</v>
      </c>
      <c r="C42" s="12">
        <v>64</v>
      </c>
      <c r="D42" s="8">
        <v>1.21</v>
      </c>
      <c r="E42" s="12">
        <v>10</v>
      </c>
      <c r="F42" s="8">
        <v>0.38</v>
      </c>
      <c r="G42" s="12">
        <v>54</v>
      </c>
      <c r="H42" s="8">
        <v>2.0499999999999998</v>
      </c>
      <c r="I42" s="12">
        <v>0</v>
      </c>
    </row>
    <row r="43" spans="2:9" ht="15" customHeight="1" x14ac:dyDescent="0.2">
      <c r="B43" t="s">
        <v>104</v>
      </c>
      <c r="C43" s="12">
        <v>63</v>
      </c>
      <c r="D43" s="8">
        <v>1.19</v>
      </c>
      <c r="E43" s="12">
        <v>15</v>
      </c>
      <c r="F43" s="8">
        <v>0.56999999999999995</v>
      </c>
      <c r="G43" s="12">
        <v>48</v>
      </c>
      <c r="H43" s="8">
        <v>1.82</v>
      </c>
      <c r="I43" s="12">
        <v>0</v>
      </c>
    </row>
    <row r="44" spans="2:9" ht="15" customHeight="1" x14ac:dyDescent="0.2">
      <c r="B44" t="s">
        <v>119</v>
      </c>
      <c r="C44" s="12">
        <v>63</v>
      </c>
      <c r="D44" s="8">
        <v>1.19</v>
      </c>
      <c r="E44" s="12">
        <v>5</v>
      </c>
      <c r="F44" s="8">
        <v>0.19</v>
      </c>
      <c r="G44" s="12">
        <v>56</v>
      </c>
      <c r="H44" s="8">
        <v>2.12</v>
      </c>
      <c r="I44" s="12">
        <v>2</v>
      </c>
    </row>
    <row r="47" spans="2:9" ht="33" customHeight="1" x14ac:dyDescent="0.2">
      <c r="B47" t="s">
        <v>273</v>
      </c>
      <c r="C47" s="10" t="s">
        <v>91</v>
      </c>
      <c r="D47" s="10" t="s">
        <v>92</v>
      </c>
      <c r="E47" s="10" t="s">
        <v>93</v>
      </c>
      <c r="F47" s="10" t="s">
        <v>94</v>
      </c>
      <c r="G47" s="10" t="s">
        <v>95</v>
      </c>
      <c r="H47" s="10" t="s">
        <v>96</v>
      </c>
      <c r="I47" s="10" t="s">
        <v>97</v>
      </c>
    </row>
    <row r="48" spans="2:9" ht="15" customHeight="1" x14ac:dyDescent="0.2">
      <c r="B48" t="s">
        <v>169</v>
      </c>
      <c r="C48" s="12">
        <v>333</v>
      </c>
      <c r="D48" s="8">
        <v>6.28</v>
      </c>
      <c r="E48" s="12">
        <v>298</v>
      </c>
      <c r="F48" s="8">
        <v>11.31</v>
      </c>
      <c r="G48" s="12">
        <v>35</v>
      </c>
      <c r="H48" s="8">
        <v>1.33</v>
      </c>
      <c r="I48" s="12">
        <v>0</v>
      </c>
    </row>
    <row r="49" spans="2:9" ht="15" customHeight="1" x14ac:dyDescent="0.2">
      <c r="B49" t="s">
        <v>160</v>
      </c>
      <c r="C49" s="12">
        <v>244</v>
      </c>
      <c r="D49" s="8">
        <v>4.5999999999999996</v>
      </c>
      <c r="E49" s="12">
        <v>72</v>
      </c>
      <c r="F49" s="8">
        <v>2.73</v>
      </c>
      <c r="G49" s="12">
        <v>172</v>
      </c>
      <c r="H49" s="8">
        <v>6.52</v>
      </c>
      <c r="I49" s="12">
        <v>0</v>
      </c>
    </row>
    <row r="50" spans="2:9" ht="15" customHeight="1" x14ac:dyDescent="0.2">
      <c r="B50" t="s">
        <v>171</v>
      </c>
      <c r="C50" s="12">
        <v>209</v>
      </c>
      <c r="D50" s="8">
        <v>3.94</v>
      </c>
      <c r="E50" s="12">
        <v>183</v>
      </c>
      <c r="F50" s="8">
        <v>6.94</v>
      </c>
      <c r="G50" s="12">
        <v>26</v>
      </c>
      <c r="H50" s="8">
        <v>0.99</v>
      </c>
      <c r="I50" s="12">
        <v>0</v>
      </c>
    </row>
    <row r="51" spans="2:9" ht="15" customHeight="1" x14ac:dyDescent="0.2">
      <c r="B51" t="s">
        <v>167</v>
      </c>
      <c r="C51" s="12">
        <v>189</v>
      </c>
      <c r="D51" s="8">
        <v>3.57</v>
      </c>
      <c r="E51" s="12">
        <v>179</v>
      </c>
      <c r="F51" s="8">
        <v>6.79</v>
      </c>
      <c r="G51" s="12">
        <v>10</v>
      </c>
      <c r="H51" s="8">
        <v>0.38</v>
      </c>
      <c r="I51" s="12">
        <v>0</v>
      </c>
    </row>
    <row r="52" spans="2:9" ht="15" customHeight="1" x14ac:dyDescent="0.2">
      <c r="B52" t="s">
        <v>170</v>
      </c>
      <c r="C52" s="12">
        <v>186</v>
      </c>
      <c r="D52" s="8">
        <v>3.51</v>
      </c>
      <c r="E52" s="12">
        <v>149</v>
      </c>
      <c r="F52" s="8">
        <v>5.65</v>
      </c>
      <c r="G52" s="12">
        <v>37</v>
      </c>
      <c r="H52" s="8">
        <v>1.4</v>
      </c>
      <c r="I52" s="12">
        <v>0</v>
      </c>
    </row>
    <row r="53" spans="2:9" ht="15" customHeight="1" x14ac:dyDescent="0.2">
      <c r="B53" t="s">
        <v>168</v>
      </c>
      <c r="C53" s="12">
        <v>169</v>
      </c>
      <c r="D53" s="8">
        <v>3.19</v>
      </c>
      <c r="E53" s="12">
        <v>162</v>
      </c>
      <c r="F53" s="8">
        <v>6.15</v>
      </c>
      <c r="G53" s="12">
        <v>7</v>
      </c>
      <c r="H53" s="8">
        <v>0.27</v>
      </c>
      <c r="I53" s="12">
        <v>0</v>
      </c>
    </row>
    <row r="54" spans="2:9" ht="15" customHeight="1" x14ac:dyDescent="0.2">
      <c r="B54" t="s">
        <v>165</v>
      </c>
      <c r="C54" s="12">
        <v>111</v>
      </c>
      <c r="D54" s="8">
        <v>2.09</v>
      </c>
      <c r="E54" s="12">
        <v>108</v>
      </c>
      <c r="F54" s="8">
        <v>4.0999999999999996</v>
      </c>
      <c r="G54" s="12">
        <v>3</v>
      </c>
      <c r="H54" s="8">
        <v>0.11</v>
      </c>
      <c r="I54" s="12">
        <v>0</v>
      </c>
    </row>
    <row r="55" spans="2:9" ht="15" customHeight="1" x14ac:dyDescent="0.2">
      <c r="B55" t="s">
        <v>162</v>
      </c>
      <c r="C55" s="12">
        <v>97</v>
      </c>
      <c r="D55" s="8">
        <v>1.83</v>
      </c>
      <c r="E55" s="12">
        <v>3</v>
      </c>
      <c r="F55" s="8">
        <v>0.11</v>
      </c>
      <c r="G55" s="12">
        <v>94</v>
      </c>
      <c r="H55" s="8">
        <v>3.56</v>
      </c>
      <c r="I55" s="12">
        <v>0</v>
      </c>
    </row>
    <row r="56" spans="2:9" ht="15" customHeight="1" x14ac:dyDescent="0.2">
      <c r="B56" t="s">
        <v>157</v>
      </c>
      <c r="C56" s="12">
        <v>95</v>
      </c>
      <c r="D56" s="8">
        <v>1.79</v>
      </c>
      <c r="E56" s="12">
        <v>54</v>
      </c>
      <c r="F56" s="8">
        <v>2.0499999999999998</v>
      </c>
      <c r="G56" s="12">
        <v>41</v>
      </c>
      <c r="H56" s="8">
        <v>1.55</v>
      </c>
      <c r="I56" s="12">
        <v>0</v>
      </c>
    </row>
    <row r="57" spans="2:9" ht="15" customHeight="1" x14ac:dyDescent="0.2">
      <c r="B57" t="s">
        <v>164</v>
      </c>
      <c r="C57" s="12">
        <v>91</v>
      </c>
      <c r="D57" s="8">
        <v>1.72</v>
      </c>
      <c r="E57" s="12">
        <v>74</v>
      </c>
      <c r="F57" s="8">
        <v>2.81</v>
      </c>
      <c r="G57" s="12">
        <v>17</v>
      </c>
      <c r="H57" s="8">
        <v>0.64</v>
      </c>
      <c r="I57" s="12">
        <v>0</v>
      </c>
    </row>
    <row r="58" spans="2:9" ht="15" customHeight="1" x14ac:dyDescent="0.2">
      <c r="B58" t="s">
        <v>190</v>
      </c>
      <c r="C58" s="12">
        <v>88</v>
      </c>
      <c r="D58" s="8">
        <v>1.66</v>
      </c>
      <c r="E58" s="12">
        <v>10</v>
      </c>
      <c r="F58" s="8">
        <v>0.38</v>
      </c>
      <c r="G58" s="12">
        <v>78</v>
      </c>
      <c r="H58" s="8">
        <v>2.96</v>
      </c>
      <c r="I58" s="12">
        <v>0</v>
      </c>
    </row>
    <row r="59" spans="2:9" ht="15" customHeight="1" x14ac:dyDescent="0.2">
      <c r="B59" t="s">
        <v>215</v>
      </c>
      <c r="C59" s="12">
        <v>88</v>
      </c>
      <c r="D59" s="8">
        <v>1.66</v>
      </c>
      <c r="E59" s="12">
        <v>56</v>
      </c>
      <c r="F59" s="8">
        <v>2.12</v>
      </c>
      <c r="G59" s="12">
        <v>32</v>
      </c>
      <c r="H59" s="8">
        <v>1.21</v>
      </c>
      <c r="I59" s="12">
        <v>0</v>
      </c>
    </row>
    <row r="60" spans="2:9" ht="15" customHeight="1" x14ac:dyDescent="0.2">
      <c r="B60" t="s">
        <v>152</v>
      </c>
      <c r="C60" s="12">
        <v>87</v>
      </c>
      <c r="D60" s="8">
        <v>1.64</v>
      </c>
      <c r="E60" s="12">
        <v>15</v>
      </c>
      <c r="F60" s="8">
        <v>0.56999999999999995</v>
      </c>
      <c r="G60" s="12">
        <v>72</v>
      </c>
      <c r="H60" s="8">
        <v>2.73</v>
      </c>
      <c r="I60" s="12">
        <v>0</v>
      </c>
    </row>
    <row r="61" spans="2:9" ht="15" customHeight="1" x14ac:dyDescent="0.2">
      <c r="B61" t="s">
        <v>210</v>
      </c>
      <c r="C61" s="12">
        <v>84</v>
      </c>
      <c r="D61" s="8">
        <v>1.59</v>
      </c>
      <c r="E61" s="12">
        <v>16</v>
      </c>
      <c r="F61" s="8">
        <v>0.61</v>
      </c>
      <c r="G61" s="12">
        <v>68</v>
      </c>
      <c r="H61" s="8">
        <v>2.58</v>
      </c>
      <c r="I61" s="12">
        <v>0</v>
      </c>
    </row>
    <row r="62" spans="2:9" ht="15" customHeight="1" x14ac:dyDescent="0.2">
      <c r="B62" t="s">
        <v>158</v>
      </c>
      <c r="C62" s="12">
        <v>84</v>
      </c>
      <c r="D62" s="8">
        <v>1.59</v>
      </c>
      <c r="E62" s="12">
        <v>23</v>
      </c>
      <c r="F62" s="8">
        <v>0.87</v>
      </c>
      <c r="G62" s="12">
        <v>61</v>
      </c>
      <c r="H62" s="8">
        <v>2.31</v>
      </c>
      <c r="I62" s="12">
        <v>0</v>
      </c>
    </row>
    <row r="63" spans="2:9" ht="15" customHeight="1" x14ac:dyDescent="0.2">
      <c r="B63" t="s">
        <v>196</v>
      </c>
      <c r="C63" s="12">
        <v>84</v>
      </c>
      <c r="D63" s="8">
        <v>1.59</v>
      </c>
      <c r="E63" s="12">
        <v>41</v>
      </c>
      <c r="F63" s="8">
        <v>1.56</v>
      </c>
      <c r="G63" s="12">
        <v>43</v>
      </c>
      <c r="H63" s="8">
        <v>1.63</v>
      </c>
      <c r="I63" s="12">
        <v>0</v>
      </c>
    </row>
    <row r="64" spans="2:9" ht="15" customHeight="1" x14ac:dyDescent="0.2">
      <c r="B64" t="s">
        <v>159</v>
      </c>
      <c r="C64" s="12">
        <v>82</v>
      </c>
      <c r="D64" s="8">
        <v>1.55</v>
      </c>
      <c r="E64" s="12">
        <v>8</v>
      </c>
      <c r="F64" s="8">
        <v>0.3</v>
      </c>
      <c r="G64" s="12">
        <v>74</v>
      </c>
      <c r="H64" s="8">
        <v>2.81</v>
      </c>
      <c r="I64" s="12">
        <v>0</v>
      </c>
    </row>
    <row r="65" spans="2:9" ht="15" customHeight="1" x14ac:dyDescent="0.2">
      <c r="B65" t="s">
        <v>155</v>
      </c>
      <c r="C65" s="12">
        <v>79</v>
      </c>
      <c r="D65" s="8">
        <v>1.49</v>
      </c>
      <c r="E65" s="12">
        <v>49</v>
      </c>
      <c r="F65" s="8">
        <v>1.86</v>
      </c>
      <c r="G65" s="12">
        <v>30</v>
      </c>
      <c r="H65" s="8">
        <v>1.1399999999999999</v>
      </c>
      <c r="I65" s="12">
        <v>0</v>
      </c>
    </row>
    <row r="66" spans="2:9" ht="15" customHeight="1" x14ac:dyDescent="0.2">
      <c r="B66" t="s">
        <v>174</v>
      </c>
      <c r="C66" s="12">
        <v>75</v>
      </c>
      <c r="D66" s="8">
        <v>1.42</v>
      </c>
      <c r="E66" s="12">
        <v>11</v>
      </c>
      <c r="F66" s="8">
        <v>0.42</v>
      </c>
      <c r="G66" s="12">
        <v>64</v>
      </c>
      <c r="H66" s="8">
        <v>2.4300000000000002</v>
      </c>
      <c r="I66" s="12">
        <v>0</v>
      </c>
    </row>
    <row r="67" spans="2:9" ht="15" customHeight="1" x14ac:dyDescent="0.2">
      <c r="B67" t="s">
        <v>199</v>
      </c>
      <c r="C67" s="12">
        <v>74</v>
      </c>
      <c r="D67" s="8">
        <v>1.4</v>
      </c>
      <c r="E67" s="12">
        <v>48</v>
      </c>
      <c r="F67" s="8">
        <v>1.82</v>
      </c>
      <c r="G67" s="12">
        <v>25</v>
      </c>
      <c r="H67" s="8">
        <v>0.95</v>
      </c>
      <c r="I67" s="12">
        <v>1</v>
      </c>
    </row>
    <row r="69" spans="2:9" ht="15" customHeight="1" x14ac:dyDescent="0.2">
      <c r="B69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9007A-E9BF-4294-953D-2D927ED1C090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317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2</v>
      </c>
      <c r="D5" s="8">
        <v>0.04</v>
      </c>
      <c r="E5" s="12">
        <v>0</v>
      </c>
      <c r="F5" s="8">
        <v>0</v>
      </c>
      <c r="G5" s="12">
        <v>2</v>
      </c>
      <c r="H5" s="8">
        <v>0.08</v>
      </c>
      <c r="I5" s="12">
        <v>0</v>
      </c>
    </row>
    <row r="6" spans="2:9" ht="15" customHeight="1" x14ac:dyDescent="0.2">
      <c r="B6" t="s">
        <v>76</v>
      </c>
      <c r="C6" s="12">
        <v>539</v>
      </c>
      <c r="D6" s="8">
        <v>11.07</v>
      </c>
      <c r="E6" s="12">
        <v>81</v>
      </c>
      <c r="F6" s="8">
        <v>3.66</v>
      </c>
      <c r="G6" s="12">
        <v>458</v>
      </c>
      <c r="H6" s="8">
        <v>17.489999999999998</v>
      </c>
      <c r="I6" s="12">
        <v>0</v>
      </c>
    </row>
    <row r="7" spans="2:9" ht="15" customHeight="1" x14ac:dyDescent="0.2">
      <c r="B7" t="s">
        <v>77</v>
      </c>
      <c r="C7" s="12">
        <v>238</v>
      </c>
      <c r="D7" s="8">
        <v>4.8899999999999997</v>
      </c>
      <c r="E7" s="12">
        <v>40</v>
      </c>
      <c r="F7" s="8">
        <v>1.81</v>
      </c>
      <c r="G7" s="12">
        <v>198</v>
      </c>
      <c r="H7" s="8">
        <v>7.56</v>
      </c>
      <c r="I7" s="12">
        <v>0</v>
      </c>
    </row>
    <row r="8" spans="2:9" ht="15" customHeight="1" x14ac:dyDescent="0.2">
      <c r="B8" t="s">
        <v>78</v>
      </c>
      <c r="C8" s="12">
        <v>5</v>
      </c>
      <c r="D8" s="8">
        <v>0.1</v>
      </c>
      <c r="E8" s="12">
        <v>0</v>
      </c>
      <c r="F8" s="8">
        <v>0</v>
      </c>
      <c r="G8" s="12">
        <v>5</v>
      </c>
      <c r="H8" s="8">
        <v>0.19</v>
      </c>
      <c r="I8" s="12">
        <v>0</v>
      </c>
    </row>
    <row r="9" spans="2:9" ht="15" customHeight="1" x14ac:dyDescent="0.2">
      <c r="B9" t="s">
        <v>79</v>
      </c>
      <c r="C9" s="12">
        <v>43</v>
      </c>
      <c r="D9" s="8">
        <v>0.88</v>
      </c>
      <c r="E9" s="12">
        <v>1</v>
      </c>
      <c r="F9" s="8">
        <v>0.05</v>
      </c>
      <c r="G9" s="12">
        <v>42</v>
      </c>
      <c r="H9" s="8">
        <v>1.6</v>
      </c>
      <c r="I9" s="12">
        <v>0</v>
      </c>
    </row>
    <row r="10" spans="2:9" ht="15" customHeight="1" x14ac:dyDescent="0.2">
      <c r="B10" t="s">
        <v>80</v>
      </c>
      <c r="C10" s="12">
        <v>80</v>
      </c>
      <c r="D10" s="8">
        <v>1.64</v>
      </c>
      <c r="E10" s="12">
        <v>9</v>
      </c>
      <c r="F10" s="8">
        <v>0.41</v>
      </c>
      <c r="G10" s="12">
        <v>71</v>
      </c>
      <c r="H10" s="8">
        <v>2.71</v>
      </c>
      <c r="I10" s="12">
        <v>0</v>
      </c>
    </row>
    <row r="11" spans="2:9" ht="15" customHeight="1" x14ac:dyDescent="0.2">
      <c r="B11" t="s">
        <v>81</v>
      </c>
      <c r="C11" s="12">
        <v>952</v>
      </c>
      <c r="D11" s="8">
        <v>19.559999999999999</v>
      </c>
      <c r="E11" s="12">
        <v>378</v>
      </c>
      <c r="F11" s="8">
        <v>17.100000000000001</v>
      </c>
      <c r="G11" s="12">
        <v>573</v>
      </c>
      <c r="H11" s="8">
        <v>21.88</v>
      </c>
      <c r="I11" s="12">
        <v>1</v>
      </c>
    </row>
    <row r="12" spans="2:9" ht="15" customHeight="1" x14ac:dyDescent="0.2">
      <c r="B12" t="s">
        <v>82</v>
      </c>
      <c r="C12" s="12">
        <v>23</v>
      </c>
      <c r="D12" s="8">
        <v>0.47</v>
      </c>
      <c r="E12" s="12">
        <v>2</v>
      </c>
      <c r="F12" s="8">
        <v>0.09</v>
      </c>
      <c r="G12" s="12">
        <v>21</v>
      </c>
      <c r="H12" s="8">
        <v>0.8</v>
      </c>
      <c r="I12" s="12">
        <v>0</v>
      </c>
    </row>
    <row r="13" spans="2:9" ht="15" customHeight="1" x14ac:dyDescent="0.2">
      <c r="B13" t="s">
        <v>83</v>
      </c>
      <c r="C13" s="12">
        <v>994</v>
      </c>
      <c r="D13" s="8">
        <v>20.420000000000002</v>
      </c>
      <c r="E13" s="12">
        <v>333</v>
      </c>
      <c r="F13" s="8">
        <v>15.06</v>
      </c>
      <c r="G13" s="12">
        <v>659</v>
      </c>
      <c r="H13" s="8">
        <v>25.16</v>
      </c>
      <c r="I13" s="12">
        <v>2</v>
      </c>
    </row>
    <row r="14" spans="2:9" ht="15" customHeight="1" x14ac:dyDescent="0.2">
      <c r="B14" t="s">
        <v>84</v>
      </c>
      <c r="C14" s="12">
        <v>230</v>
      </c>
      <c r="D14" s="8">
        <v>4.72</v>
      </c>
      <c r="E14" s="12">
        <v>110</v>
      </c>
      <c r="F14" s="8">
        <v>4.9800000000000004</v>
      </c>
      <c r="G14" s="12">
        <v>120</v>
      </c>
      <c r="H14" s="8">
        <v>4.58</v>
      </c>
      <c r="I14" s="12">
        <v>0</v>
      </c>
    </row>
    <row r="15" spans="2:9" ht="15" customHeight="1" x14ac:dyDescent="0.2">
      <c r="B15" t="s">
        <v>85</v>
      </c>
      <c r="C15" s="12">
        <v>554</v>
      </c>
      <c r="D15" s="8">
        <v>11.38</v>
      </c>
      <c r="E15" s="12">
        <v>468</v>
      </c>
      <c r="F15" s="8">
        <v>21.17</v>
      </c>
      <c r="G15" s="12">
        <v>86</v>
      </c>
      <c r="H15" s="8">
        <v>3.28</v>
      </c>
      <c r="I15" s="12">
        <v>0</v>
      </c>
    </row>
    <row r="16" spans="2:9" ht="15" customHeight="1" x14ac:dyDescent="0.2">
      <c r="B16" t="s">
        <v>86</v>
      </c>
      <c r="C16" s="12">
        <v>539</v>
      </c>
      <c r="D16" s="8">
        <v>11.07</v>
      </c>
      <c r="E16" s="12">
        <v>414</v>
      </c>
      <c r="F16" s="8">
        <v>18.72</v>
      </c>
      <c r="G16" s="12">
        <v>122</v>
      </c>
      <c r="H16" s="8">
        <v>4.66</v>
      </c>
      <c r="I16" s="12">
        <v>0</v>
      </c>
    </row>
    <row r="17" spans="2:9" ht="15" customHeight="1" x14ac:dyDescent="0.2">
      <c r="B17" t="s">
        <v>87</v>
      </c>
      <c r="C17" s="12">
        <v>222</v>
      </c>
      <c r="D17" s="8">
        <v>4.5599999999999996</v>
      </c>
      <c r="E17" s="12">
        <v>152</v>
      </c>
      <c r="F17" s="8">
        <v>6.87</v>
      </c>
      <c r="G17" s="12">
        <v>61</v>
      </c>
      <c r="H17" s="8">
        <v>2.33</v>
      </c>
      <c r="I17" s="12">
        <v>0</v>
      </c>
    </row>
    <row r="18" spans="2:9" ht="15" customHeight="1" x14ac:dyDescent="0.2">
      <c r="B18" t="s">
        <v>88</v>
      </c>
      <c r="C18" s="12">
        <v>293</v>
      </c>
      <c r="D18" s="8">
        <v>6.02</v>
      </c>
      <c r="E18" s="12">
        <v>188</v>
      </c>
      <c r="F18" s="8">
        <v>8.5</v>
      </c>
      <c r="G18" s="12">
        <v>98</v>
      </c>
      <c r="H18" s="8">
        <v>3.74</v>
      </c>
      <c r="I18" s="12">
        <v>2</v>
      </c>
    </row>
    <row r="19" spans="2:9" ht="15" customHeight="1" x14ac:dyDescent="0.2">
      <c r="B19" t="s">
        <v>89</v>
      </c>
      <c r="C19" s="12">
        <v>154</v>
      </c>
      <c r="D19" s="8">
        <v>3.16</v>
      </c>
      <c r="E19" s="12">
        <v>35</v>
      </c>
      <c r="F19" s="8">
        <v>1.58</v>
      </c>
      <c r="G19" s="12">
        <v>103</v>
      </c>
      <c r="H19" s="8">
        <v>3.93</v>
      </c>
      <c r="I19" s="12">
        <v>16</v>
      </c>
    </row>
    <row r="20" spans="2:9" ht="15" customHeight="1" x14ac:dyDescent="0.2">
      <c r="B20" s="9" t="s">
        <v>271</v>
      </c>
      <c r="C20" s="12">
        <f>SUM(LTBL_27211[総数／事業所数])</f>
        <v>4868</v>
      </c>
      <c r="E20" s="12">
        <f>SUBTOTAL(109,LTBL_27211[個人／事業所数])</f>
        <v>2211</v>
      </c>
      <c r="G20" s="12">
        <f>SUBTOTAL(109,LTBL_27211[法人／事業所数])</f>
        <v>2619</v>
      </c>
      <c r="I20" s="12">
        <f>SUBTOTAL(109,LTBL_27211[法人以外の団体／事業所数])</f>
        <v>21</v>
      </c>
    </row>
    <row r="21" spans="2:9" ht="15" customHeight="1" x14ac:dyDescent="0.2">
      <c r="E21" s="11">
        <f>LTBL_27211[[#Totals],[個人／事業所数]]/LTBL_27211[[#Totals],[総数／事業所数]]</f>
        <v>0.45419063270336896</v>
      </c>
      <c r="G21" s="11">
        <f>LTBL_27211[[#Totals],[法人／事業所数]]/LTBL_27211[[#Totals],[総数／事業所数]]</f>
        <v>0.53800328677074771</v>
      </c>
      <c r="I21" s="11">
        <f>LTBL_27211[[#Totals],[法人以外の団体／事業所数]]/LTBL_27211[[#Totals],[総数／事業所数]]</f>
        <v>4.3138866064092026E-3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110</v>
      </c>
      <c r="C24" s="12">
        <v>867</v>
      </c>
      <c r="D24" s="8">
        <v>17.809999999999999</v>
      </c>
      <c r="E24" s="12">
        <v>316</v>
      </c>
      <c r="F24" s="8">
        <v>14.29</v>
      </c>
      <c r="G24" s="12">
        <v>549</v>
      </c>
      <c r="H24" s="8">
        <v>20.96</v>
      </c>
      <c r="I24" s="12">
        <v>2</v>
      </c>
    </row>
    <row r="25" spans="2:9" ht="15" customHeight="1" x14ac:dyDescent="0.2">
      <c r="B25" t="s">
        <v>113</v>
      </c>
      <c r="C25" s="12">
        <v>513</v>
      </c>
      <c r="D25" s="8">
        <v>10.54</v>
      </c>
      <c r="E25" s="12">
        <v>456</v>
      </c>
      <c r="F25" s="8">
        <v>20.62</v>
      </c>
      <c r="G25" s="12">
        <v>57</v>
      </c>
      <c r="H25" s="8">
        <v>2.1800000000000002</v>
      </c>
      <c r="I25" s="12">
        <v>0</v>
      </c>
    </row>
    <row r="26" spans="2:9" ht="15" customHeight="1" x14ac:dyDescent="0.2">
      <c r="B26" t="s">
        <v>114</v>
      </c>
      <c r="C26" s="12">
        <v>448</v>
      </c>
      <c r="D26" s="8">
        <v>9.1999999999999993</v>
      </c>
      <c r="E26" s="12">
        <v>378</v>
      </c>
      <c r="F26" s="8">
        <v>17.100000000000001</v>
      </c>
      <c r="G26" s="12">
        <v>70</v>
      </c>
      <c r="H26" s="8">
        <v>2.67</v>
      </c>
      <c r="I26" s="12">
        <v>0</v>
      </c>
    </row>
    <row r="27" spans="2:9" ht="15" customHeight="1" x14ac:dyDescent="0.2">
      <c r="B27" t="s">
        <v>98</v>
      </c>
      <c r="C27" s="12">
        <v>247</v>
      </c>
      <c r="D27" s="8">
        <v>5.07</v>
      </c>
      <c r="E27" s="12">
        <v>30</v>
      </c>
      <c r="F27" s="8">
        <v>1.36</v>
      </c>
      <c r="G27" s="12">
        <v>217</v>
      </c>
      <c r="H27" s="8">
        <v>8.2899999999999991</v>
      </c>
      <c r="I27" s="12">
        <v>0</v>
      </c>
    </row>
    <row r="28" spans="2:9" ht="15" customHeight="1" x14ac:dyDescent="0.2">
      <c r="B28" t="s">
        <v>115</v>
      </c>
      <c r="C28" s="12">
        <v>222</v>
      </c>
      <c r="D28" s="8">
        <v>4.5599999999999996</v>
      </c>
      <c r="E28" s="12">
        <v>152</v>
      </c>
      <c r="F28" s="8">
        <v>6.87</v>
      </c>
      <c r="G28" s="12">
        <v>61</v>
      </c>
      <c r="H28" s="8">
        <v>2.33</v>
      </c>
      <c r="I28" s="12">
        <v>0</v>
      </c>
    </row>
    <row r="29" spans="2:9" ht="15" customHeight="1" x14ac:dyDescent="0.2">
      <c r="B29" t="s">
        <v>108</v>
      </c>
      <c r="C29" s="12">
        <v>217</v>
      </c>
      <c r="D29" s="8">
        <v>4.46</v>
      </c>
      <c r="E29" s="12">
        <v>115</v>
      </c>
      <c r="F29" s="8">
        <v>5.2</v>
      </c>
      <c r="G29" s="12">
        <v>102</v>
      </c>
      <c r="H29" s="8">
        <v>3.89</v>
      </c>
      <c r="I29" s="12">
        <v>0</v>
      </c>
    </row>
    <row r="30" spans="2:9" ht="15" customHeight="1" x14ac:dyDescent="0.2">
      <c r="B30" t="s">
        <v>116</v>
      </c>
      <c r="C30" s="12">
        <v>210</v>
      </c>
      <c r="D30" s="8">
        <v>4.3099999999999996</v>
      </c>
      <c r="E30" s="12">
        <v>185</v>
      </c>
      <c r="F30" s="8">
        <v>8.3699999999999992</v>
      </c>
      <c r="G30" s="12">
        <v>25</v>
      </c>
      <c r="H30" s="8">
        <v>0.95</v>
      </c>
      <c r="I30" s="12">
        <v>0</v>
      </c>
    </row>
    <row r="31" spans="2:9" ht="15" customHeight="1" x14ac:dyDescent="0.2">
      <c r="B31" t="s">
        <v>106</v>
      </c>
      <c r="C31" s="12">
        <v>161</v>
      </c>
      <c r="D31" s="8">
        <v>3.31</v>
      </c>
      <c r="E31" s="12">
        <v>97</v>
      </c>
      <c r="F31" s="8">
        <v>4.3899999999999997</v>
      </c>
      <c r="G31" s="12">
        <v>64</v>
      </c>
      <c r="H31" s="8">
        <v>2.44</v>
      </c>
      <c r="I31" s="12">
        <v>0</v>
      </c>
    </row>
    <row r="32" spans="2:9" ht="15" customHeight="1" x14ac:dyDescent="0.2">
      <c r="B32" t="s">
        <v>99</v>
      </c>
      <c r="C32" s="12">
        <v>160</v>
      </c>
      <c r="D32" s="8">
        <v>3.29</v>
      </c>
      <c r="E32" s="12">
        <v>34</v>
      </c>
      <c r="F32" s="8">
        <v>1.54</v>
      </c>
      <c r="G32" s="12">
        <v>126</v>
      </c>
      <c r="H32" s="8">
        <v>4.8099999999999996</v>
      </c>
      <c r="I32" s="12">
        <v>0</v>
      </c>
    </row>
    <row r="33" spans="2:9" ht="15" customHeight="1" x14ac:dyDescent="0.2">
      <c r="B33" t="s">
        <v>107</v>
      </c>
      <c r="C33" s="12">
        <v>139</v>
      </c>
      <c r="D33" s="8">
        <v>2.86</v>
      </c>
      <c r="E33" s="12">
        <v>82</v>
      </c>
      <c r="F33" s="8">
        <v>3.71</v>
      </c>
      <c r="G33" s="12">
        <v>57</v>
      </c>
      <c r="H33" s="8">
        <v>2.1800000000000002</v>
      </c>
      <c r="I33" s="12">
        <v>0</v>
      </c>
    </row>
    <row r="34" spans="2:9" ht="15" customHeight="1" x14ac:dyDescent="0.2">
      <c r="B34" t="s">
        <v>111</v>
      </c>
      <c r="C34" s="12">
        <v>134</v>
      </c>
      <c r="D34" s="8">
        <v>2.75</v>
      </c>
      <c r="E34" s="12">
        <v>78</v>
      </c>
      <c r="F34" s="8">
        <v>3.53</v>
      </c>
      <c r="G34" s="12">
        <v>56</v>
      </c>
      <c r="H34" s="8">
        <v>2.14</v>
      </c>
      <c r="I34" s="12">
        <v>0</v>
      </c>
    </row>
    <row r="35" spans="2:9" ht="15" customHeight="1" x14ac:dyDescent="0.2">
      <c r="B35" t="s">
        <v>100</v>
      </c>
      <c r="C35" s="12">
        <v>132</v>
      </c>
      <c r="D35" s="8">
        <v>2.71</v>
      </c>
      <c r="E35" s="12">
        <v>17</v>
      </c>
      <c r="F35" s="8">
        <v>0.77</v>
      </c>
      <c r="G35" s="12">
        <v>115</v>
      </c>
      <c r="H35" s="8">
        <v>4.3899999999999997</v>
      </c>
      <c r="I35" s="12">
        <v>0</v>
      </c>
    </row>
    <row r="36" spans="2:9" ht="15" customHeight="1" x14ac:dyDescent="0.2">
      <c r="B36" t="s">
        <v>109</v>
      </c>
      <c r="C36" s="12">
        <v>102</v>
      </c>
      <c r="D36" s="8">
        <v>2.1</v>
      </c>
      <c r="E36" s="12">
        <v>15</v>
      </c>
      <c r="F36" s="8">
        <v>0.68</v>
      </c>
      <c r="G36" s="12">
        <v>87</v>
      </c>
      <c r="H36" s="8">
        <v>3.32</v>
      </c>
      <c r="I36" s="12">
        <v>0</v>
      </c>
    </row>
    <row r="37" spans="2:9" ht="15" customHeight="1" x14ac:dyDescent="0.2">
      <c r="B37" t="s">
        <v>105</v>
      </c>
      <c r="C37" s="12">
        <v>89</v>
      </c>
      <c r="D37" s="8">
        <v>1.83</v>
      </c>
      <c r="E37" s="12">
        <v>44</v>
      </c>
      <c r="F37" s="8">
        <v>1.99</v>
      </c>
      <c r="G37" s="12">
        <v>45</v>
      </c>
      <c r="H37" s="8">
        <v>1.72</v>
      </c>
      <c r="I37" s="12">
        <v>0</v>
      </c>
    </row>
    <row r="38" spans="2:9" ht="15" customHeight="1" x14ac:dyDescent="0.2">
      <c r="B38" t="s">
        <v>117</v>
      </c>
      <c r="C38" s="12">
        <v>83</v>
      </c>
      <c r="D38" s="8">
        <v>1.71</v>
      </c>
      <c r="E38" s="12">
        <v>3</v>
      </c>
      <c r="F38" s="8">
        <v>0.14000000000000001</v>
      </c>
      <c r="G38" s="12">
        <v>73</v>
      </c>
      <c r="H38" s="8">
        <v>2.79</v>
      </c>
      <c r="I38" s="12">
        <v>2</v>
      </c>
    </row>
    <row r="39" spans="2:9" ht="15" customHeight="1" x14ac:dyDescent="0.2">
      <c r="B39" t="s">
        <v>112</v>
      </c>
      <c r="C39" s="12">
        <v>81</v>
      </c>
      <c r="D39" s="8">
        <v>1.66</v>
      </c>
      <c r="E39" s="12">
        <v>30</v>
      </c>
      <c r="F39" s="8">
        <v>1.36</v>
      </c>
      <c r="G39" s="12">
        <v>51</v>
      </c>
      <c r="H39" s="8">
        <v>1.95</v>
      </c>
      <c r="I39" s="12">
        <v>0</v>
      </c>
    </row>
    <row r="40" spans="2:9" ht="15" customHeight="1" x14ac:dyDescent="0.2">
      <c r="B40" t="s">
        <v>103</v>
      </c>
      <c r="C40" s="12">
        <v>79</v>
      </c>
      <c r="D40" s="8">
        <v>1.62</v>
      </c>
      <c r="E40" s="12">
        <v>7</v>
      </c>
      <c r="F40" s="8">
        <v>0.32</v>
      </c>
      <c r="G40" s="12">
        <v>72</v>
      </c>
      <c r="H40" s="8">
        <v>2.75</v>
      </c>
      <c r="I40" s="12">
        <v>0</v>
      </c>
    </row>
    <row r="41" spans="2:9" ht="15" customHeight="1" x14ac:dyDescent="0.2">
      <c r="B41" t="s">
        <v>104</v>
      </c>
      <c r="C41" s="12">
        <v>76</v>
      </c>
      <c r="D41" s="8">
        <v>1.56</v>
      </c>
      <c r="E41" s="12">
        <v>9</v>
      </c>
      <c r="F41" s="8">
        <v>0.41</v>
      </c>
      <c r="G41" s="12">
        <v>67</v>
      </c>
      <c r="H41" s="8">
        <v>2.56</v>
      </c>
      <c r="I41" s="12">
        <v>0</v>
      </c>
    </row>
    <row r="42" spans="2:9" ht="15" customHeight="1" x14ac:dyDescent="0.2">
      <c r="B42" t="s">
        <v>122</v>
      </c>
      <c r="C42" s="12">
        <v>67</v>
      </c>
      <c r="D42" s="8">
        <v>1.38</v>
      </c>
      <c r="E42" s="12">
        <v>6</v>
      </c>
      <c r="F42" s="8">
        <v>0.27</v>
      </c>
      <c r="G42" s="12">
        <v>61</v>
      </c>
      <c r="H42" s="8">
        <v>2.33</v>
      </c>
      <c r="I42" s="12">
        <v>0</v>
      </c>
    </row>
    <row r="43" spans="2:9" ht="15" customHeight="1" x14ac:dyDescent="0.2">
      <c r="B43" t="s">
        <v>119</v>
      </c>
      <c r="C43" s="12">
        <v>67</v>
      </c>
      <c r="D43" s="8">
        <v>1.38</v>
      </c>
      <c r="E43" s="12">
        <v>5</v>
      </c>
      <c r="F43" s="8">
        <v>0.23</v>
      </c>
      <c r="G43" s="12">
        <v>62</v>
      </c>
      <c r="H43" s="8">
        <v>2.37</v>
      </c>
      <c r="I43" s="12">
        <v>0</v>
      </c>
    </row>
    <row r="46" spans="2:9" ht="33" customHeight="1" x14ac:dyDescent="0.2">
      <c r="B46" t="s">
        <v>273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160</v>
      </c>
      <c r="C47" s="12">
        <v>500</v>
      </c>
      <c r="D47" s="8">
        <v>10.27</v>
      </c>
      <c r="E47" s="12">
        <v>215</v>
      </c>
      <c r="F47" s="8">
        <v>9.7200000000000006</v>
      </c>
      <c r="G47" s="12">
        <v>284</v>
      </c>
      <c r="H47" s="8">
        <v>10.84</v>
      </c>
      <c r="I47" s="12">
        <v>1</v>
      </c>
    </row>
    <row r="48" spans="2:9" ht="15" customHeight="1" x14ac:dyDescent="0.2">
      <c r="B48" t="s">
        <v>169</v>
      </c>
      <c r="C48" s="12">
        <v>237</v>
      </c>
      <c r="D48" s="8">
        <v>4.87</v>
      </c>
      <c r="E48" s="12">
        <v>212</v>
      </c>
      <c r="F48" s="8">
        <v>9.59</v>
      </c>
      <c r="G48" s="12">
        <v>25</v>
      </c>
      <c r="H48" s="8">
        <v>0.95</v>
      </c>
      <c r="I48" s="12">
        <v>0</v>
      </c>
    </row>
    <row r="49" spans="2:9" ht="15" customHeight="1" x14ac:dyDescent="0.2">
      <c r="B49" t="s">
        <v>171</v>
      </c>
      <c r="C49" s="12">
        <v>156</v>
      </c>
      <c r="D49" s="8">
        <v>3.2</v>
      </c>
      <c r="E49" s="12">
        <v>138</v>
      </c>
      <c r="F49" s="8">
        <v>6.24</v>
      </c>
      <c r="G49" s="12">
        <v>18</v>
      </c>
      <c r="H49" s="8">
        <v>0.69</v>
      </c>
      <c r="I49" s="12">
        <v>0</v>
      </c>
    </row>
    <row r="50" spans="2:9" ht="15" customHeight="1" x14ac:dyDescent="0.2">
      <c r="B50" t="s">
        <v>159</v>
      </c>
      <c r="C50" s="12">
        <v>152</v>
      </c>
      <c r="D50" s="8">
        <v>3.12</v>
      </c>
      <c r="E50" s="12">
        <v>29</v>
      </c>
      <c r="F50" s="8">
        <v>1.31</v>
      </c>
      <c r="G50" s="12">
        <v>123</v>
      </c>
      <c r="H50" s="8">
        <v>4.7</v>
      </c>
      <c r="I50" s="12">
        <v>0</v>
      </c>
    </row>
    <row r="51" spans="2:9" ht="15" customHeight="1" x14ac:dyDescent="0.2">
      <c r="B51" t="s">
        <v>170</v>
      </c>
      <c r="C51" s="12">
        <v>144</v>
      </c>
      <c r="D51" s="8">
        <v>2.96</v>
      </c>
      <c r="E51" s="12">
        <v>111</v>
      </c>
      <c r="F51" s="8">
        <v>5.0199999999999996</v>
      </c>
      <c r="G51" s="12">
        <v>33</v>
      </c>
      <c r="H51" s="8">
        <v>1.26</v>
      </c>
      <c r="I51" s="12">
        <v>0</v>
      </c>
    </row>
    <row r="52" spans="2:9" ht="15" customHeight="1" x14ac:dyDescent="0.2">
      <c r="B52" t="s">
        <v>162</v>
      </c>
      <c r="C52" s="12">
        <v>117</v>
      </c>
      <c r="D52" s="8">
        <v>2.4</v>
      </c>
      <c r="E52" s="12">
        <v>6</v>
      </c>
      <c r="F52" s="8">
        <v>0.27</v>
      </c>
      <c r="G52" s="12">
        <v>110</v>
      </c>
      <c r="H52" s="8">
        <v>4.2</v>
      </c>
      <c r="I52" s="12">
        <v>1</v>
      </c>
    </row>
    <row r="53" spans="2:9" ht="15" customHeight="1" x14ac:dyDescent="0.2">
      <c r="B53" t="s">
        <v>165</v>
      </c>
      <c r="C53" s="12">
        <v>117</v>
      </c>
      <c r="D53" s="8">
        <v>2.4</v>
      </c>
      <c r="E53" s="12">
        <v>106</v>
      </c>
      <c r="F53" s="8">
        <v>4.79</v>
      </c>
      <c r="G53" s="12">
        <v>11</v>
      </c>
      <c r="H53" s="8">
        <v>0.42</v>
      </c>
      <c r="I53" s="12">
        <v>0</v>
      </c>
    </row>
    <row r="54" spans="2:9" ht="15" customHeight="1" x14ac:dyDescent="0.2">
      <c r="B54" t="s">
        <v>168</v>
      </c>
      <c r="C54" s="12">
        <v>108</v>
      </c>
      <c r="D54" s="8">
        <v>2.2200000000000002</v>
      </c>
      <c r="E54" s="12">
        <v>106</v>
      </c>
      <c r="F54" s="8">
        <v>4.79</v>
      </c>
      <c r="G54" s="12">
        <v>2</v>
      </c>
      <c r="H54" s="8">
        <v>0.08</v>
      </c>
      <c r="I54" s="12">
        <v>0</v>
      </c>
    </row>
    <row r="55" spans="2:9" ht="15" customHeight="1" x14ac:dyDescent="0.2">
      <c r="B55" t="s">
        <v>164</v>
      </c>
      <c r="C55" s="12">
        <v>106</v>
      </c>
      <c r="D55" s="8">
        <v>2.1800000000000002</v>
      </c>
      <c r="E55" s="12">
        <v>92</v>
      </c>
      <c r="F55" s="8">
        <v>4.16</v>
      </c>
      <c r="G55" s="12">
        <v>14</v>
      </c>
      <c r="H55" s="8">
        <v>0.53</v>
      </c>
      <c r="I55" s="12">
        <v>0</v>
      </c>
    </row>
    <row r="56" spans="2:9" ht="15" customHeight="1" x14ac:dyDescent="0.2">
      <c r="B56" t="s">
        <v>167</v>
      </c>
      <c r="C56" s="12">
        <v>104</v>
      </c>
      <c r="D56" s="8">
        <v>2.14</v>
      </c>
      <c r="E56" s="12">
        <v>95</v>
      </c>
      <c r="F56" s="8">
        <v>4.3</v>
      </c>
      <c r="G56" s="12">
        <v>9</v>
      </c>
      <c r="H56" s="8">
        <v>0.34</v>
      </c>
      <c r="I56" s="12">
        <v>0</v>
      </c>
    </row>
    <row r="57" spans="2:9" ht="15" customHeight="1" x14ac:dyDescent="0.2">
      <c r="B57" t="s">
        <v>161</v>
      </c>
      <c r="C57" s="12">
        <v>98</v>
      </c>
      <c r="D57" s="8">
        <v>2.0099999999999998</v>
      </c>
      <c r="E57" s="12">
        <v>66</v>
      </c>
      <c r="F57" s="8">
        <v>2.99</v>
      </c>
      <c r="G57" s="12">
        <v>32</v>
      </c>
      <c r="H57" s="8">
        <v>1.22</v>
      </c>
      <c r="I57" s="12">
        <v>0</v>
      </c>
    </row>
    <row r="58" spans="2:9" ht="15" customHeight="1" x14ac:dyDescent="0.2">
      <c r="B58" t="s">
        <v>215</v>
      </c>
      <c r="C58" s="12">
        <v>84</v>
      </c>
      <c r="D58" s="8">
        <v>1.73</v>
      </c>
      <c r="E58" s="12">
        <v>47</v>
      </c>
      <c r="F58" s="8">
        <v>2.13</v>
      </c>
      <c r="G58" s="12">
        <v>37</v>
      </c>
      <c r="H58" s="8">
        <v>1.41</v>
      </c>
      <c r="I58" s="12">
        <v>0</v>
      </c>
    </row>
    <row r="59" spans="2:9" ht="15" customHeight="1" x14ac:dyDescent="0.2">
      <c r="B59" t="s">
        <v>166</v>
      </c>
      <c r="C59" s="12">
        <v>83</v>
      </c>
      <c r="D59" s="8">
        <v>1.71</v>
      </c>
      <c r="E59" s="12">
        <v>81</v>
      </c>
      <c r="F59" s="8">
        <v>3.66</v>
      </c>
      <c r="G59" s="12">
        <v>2</v>
      </c>
      <c r="H59" s="8">
        <v>0.08</v>
      </c>
      <c r="I59" s="12">
        <v>0</v>
      </c>
    </row>
    <row r="60" spans="2:9" ht="15" customHeight="1" x14ac:dyDescent="0.2">
      <c r="B60" t="s">
        <v>158</v>
      </c>
      <c r="C60" s="12">
        <v>80</v>
      </c>
      <c r="D60" s="8">
        <v>1.64</v>
      </c>
      <c r="E60" s="12">
        <v>14</v>
      </c>
      <c r="F60" s="8">
        <v>0.63</v>
      </c>
      <c r="G60" s="12">
        <v>66</v>
      </c>
      <c r="H60" s="8">
        <v>2.52</v>
      </c>
      <c r="I60" s="12">
        <v>0</v>
      </c>
    </row>
    <row r="61" spans="2:9" ht="15" customHeight="1" x14ac:dyDescent="0.2">
      <c r="B61" t="s">
        <v>190</v>
      </c>
      <c r="C61" s="12">
        <v>74</v>
      </c>
      <c r="D61" s="8">
        <v>1.52</v>
      </c>
      <c r="E61" s="12">
        <v>5</v>
      </c>
      <c r="F61" s="8">
        <v>0.23</v>
      </c>
      <c r="G61" s="12">
        <v>69</v>
      </c>
      <c r="H61" s="8">
        <v>2.63</v>
      </c>
      <c r="I61" s="12">
        <v>0</v>
      </c>
    </row>
    <row r="62" spans="2:9" ht="15" customHeight="1" x14ac:dyDescent="0.2">
      <c r="B62" t="s">
        <v>157</v>
      </c>
      <c r="C62" s="12">
        <v>71</v>
      </c>
      <c r="D62" s="8">
        <v>1.46</v>
      </c>
      <c r="E62" s="12">
        <v>49</v>
      </c>
      <c r="F62" s="8">
        <v>2.2200000000000002</v>
      </c>
      <c r="G62" s="12">
        <v>22</v>
      </c>
      <c r="H62" s="8">
        <v>0.84</v>
      </c>
      <c r="I62" s="12">
        <v>0</v>
      </c>
    </row>
    <row r="63" spans="2:9" ht="15" customHeight="1" x14ac:dyDescent="0.2">
      <c r="B63" t="s">
        <v>152</v>
      </c>
      <c r="C63" s="12">
        <v>68</v>
      </c>
      <c r="D63" s="8">
        <v>1.4</v>
      </c>
      <c r="E63" s="12">
        <v>7</v>
      </c>
      <c r="F63" s="8">
        <v>0.32</v>
      </c>
      <c r="G63" s="12">
        <v>61</v>
      </c>
      <c r="H63" s="8">
        <v>2.33</v>
      </c>
      <c r="I63" s="12">
        <v>0</v>
      </c>
    </row>
    <row r="64" spans="2:9" ht="15" customHeight="1" x14ac:dyDescent="0.2">
      <c r="B64" t="s">
        <v>156</v>
      </c>
      <c r="C64" s="12">
        <v>64</v>
      </c>
      <c r="D64" s="8">
        <v>1.31</v>
      </c>
      <c r="E64" s="12">
        <v>37</v>
      </c>
      <c r="F64" s="8">
        <v>1.67</v>
      </c>
      <c r="G64" s="12">
        <v>27</v>
      </c>
      <c r="H64" s="8">
        <v>1.03</v>
      </c>
      <c r="I64" s="12">
        <v>0</v>
      </c>
    </row>
    <row r="65" spans="2:9" ht="15" customHeight="1" x14ac:dyDescent="0.2">
      <c r="B65" t="s">
        <v>199</v>
      </c>
      <c r="C65" s="12">
        <v>63</v>
      </c>
      <c r="D65" s="8">
        <v>1.29</v>
      </c>
      <c r="E65" s="12">
        <v>40</v>
      </c>
      <c r="F65" s="8">
        <v>1.81</v>
      </c>
      <c r="G65" s="12">
        <v>23</v>
      </c>
      <c r="H65" s="8">
        <v>0.88</v>
      </c>
      <c r="I65" s="12">
        <v>0</v>
      </c>
    </row>
    <row r="66" spans="2:9" ht="15" customHeight="1" x14ac:dyDescent="0.2">
      <c r="B66" t="s">
        <v>153</v>
      </c>
      <c r="C66" s="12">
        <v>52</v>
      </c>
      <c r="D66" s="8">
        <v>1.07</v>
      </c>
      <c r="E66" s="12">
        <v>8</v>
      </c>
      <c r="F66" s="8">
        <v>0.36</v>
      </c>
      <c r="G66" s="12">
        <v>44</v>
      </c>
      <c r="H66" s="8">
        <v>1.68</v>
      </c>
      <c r="I66" s="12">
        <v>0</v>
      </c>
    </row>
    <row r="68" spans="2:9" ht="15" customHeight="1" x14ac:dyDescent="0.2">
      <c r="B68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040C5-A5E0-425D-9558-B014C89B2DB7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318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639</v>
      </c>
      <c r="D6" s="8">
        <v>9.58</v>
      </c>
      <c r="E6" s="12">
        <v>183</v>
      </c>
      <c r="F6" s="8">
        <v>5.43</v>
      </c>
      <c r="G6" s="12">
        <v>456</v>
      </c>
      <c r="H6" s="8">
        <v>13.87</v>
      </c>
      <c r="I6" s="12">
        <v>0</v>
      </c>
    </row>
    <row r="7" spans="2:9" ht="15" customHeight="1" x14ac:dyDescent="0.2">
      <c r="B7" t="s">
        <v>77</v>
      </c>
      <c r="C7" s="12">
        <v>1902</v>
      </c>
      <c r="D7" s="8">
        <v>28.51</v>
      </c>
      <c r="E7" s="12">
        <v>806</v>
      </c>
      <c r="F7" s="8">
        <v>23.9</v>
      </c>
      <c r="G7" s="12">
        <v>1096</v>
      </c>
      <c r="H7" s="8">
        <v>33.340000000000003</v>
      </c>
      <c r="I7" s="12">
        <v>0</v>
      </c>
    </row>
    <row r="8" spans="2:9" ht="15" customHeight="1" x14ac:dyDescent="0.2">
      <c r="B8" t="s">
        <v>78</v>
      </c>
      <c r="C8" s="12">
        <v>3</v>
      </c>
      <c r="D8" s="8">
        <v>0.04</v>
      </c>
      <c r="E8" s="12">
        <v>0</v>
      </c>
      <c r="F8" s="8">
        <v>0</v>
      </c>
      <c r="G8" s="12">
        <v>3</v>
      </c>
      <c r="H8" s="8">
        <v>0.09</v>
      </c>
      <c r="I8" s="12">
        <v>0</v>
      </c>
    </row>
    <row r="9" spans="2:9" ht="15" customHeight="1" x14ac:dyDescent="0.2">
      <c r="B9" t="s">
        <v>79</v>
      </c>
      <c r="C9" s="12">
        <v>34</v>
      </c>
      <c r="D9" s="8">
        <v>0.51</v>
      </c>
      <c r="E9" s="12">
        <v>1</v>
      </c>
      <c r="F9" s="8">
        <v>0.03</v>
      </c>
      <c r="G9" s="12">
        <v>33</v>
      </c>
      <c r="H9" s="8">
        <v>1</v>
      </c>
      <c r="I9" s="12">
        <v>0</v>
      </c>
    </row>
    <row r="10" spans="2:9" ht="15" customHeight="1" x14ac:dyDescent="0.2">
      <c r="B10" t="s">
        <v>80</v>
      </c>
      <c r="C10" s="12">
        <v>73</v>
      </c>
      <c r="D10" s="8">
        <v>1.0900000000000001</v>
      </c>
      <c r="E10" s="12">
        <v>34</v>
      </c>
      <c r="F10" s="8">
        <v>1.01</v>
      </c>
      <c r="G10" s="12">
        <v>39</v>
      </c>
      <c r="H10" s="8">
        <v>1.19</v>
      </c>
      <c r="I10" s="12">
        <v>0</v>
      </c>
    </row>
    <row r="11" spans="2:9" ht="15" customHeight="1" x14ac:dyDescent="0.2">
      <c r="B11" t="s">
        <v>81</v>
      </c>
      <c r="C11" s="12">
        <v>1133</v>
      </c>
      <c r="D11" s="8">
        <v>16.98</v>
      </c>
      <c r="E11" s="12">
        <v>586</v>
      </c>
      <c r="F11" s="8">
        <v>17.37</v>
      </c>
      <c r="G11" s="12">
        <v>543</v>
      </c>
      <c r="H11" s="8">
        <v>16.52</v>
      </c>
      <c r="I11" s="12">
        <v>4</v>
      </c>
    </row>
    <row r="12" spans="2:9" ht="15" customHeight="1" x14ac:dyDescent="0.2">
      <c r="B12" t="s">
        <v>82</v>
      </c>
      <c r="C12" s="12">
        <v>25</v>
      </c>
      <c r="D12" s="8">
        <v>0.37</v>
      </c>
      <c r="E12" s="12">
        <v>5</v>
      </c>
      <c r="F12" s="8">
        <v>0.15</v>
      </c>
      <c r="G12" s="12">
        <v>20</v>
      </c>
      <c r="H12" s="8">
        <v>0.61</v>
      </c>
      <c r="I12" s="12">
        <v>0</v>
      </c>
    </row>
    <row r="13" spans="2:9" ht="15" customHeight="1" x14ac:dyDescent="0.2">
      <c r="B13" t="s">
        <v>83</v>
      </c>
      <c r="C13" s="12">
        <v>748</v>
      </c>
      <c r="D13" s="8">
        <v>11.21</v>
      </c>
      <c r="E13" s="12">
        <v>167</v>
      </c>
      <c r="F13" s="8">
        <v>4.95</v>
      </c>
      <c r="G13" s="12">
        <v>579</v>
      </c>
      <c r="H13" s="8">
        <v>17.61</v>
      </c>
      <c r="I13" s="12">
        <v>0</v>
      </c>
    </row>
    <row r="14" spans="2:9" ht="15" customHeight="1" x14ac:dyDescent="0.2">
      <c r="B14" t="s">
        <v>84</v>
      </c>
      <c r="C14" s="12">
        <v>183</v>
      </c>
      <c r="D14" s="8">
        <v>2.74</v>
      </c>
      <c r="E14" s="12">
        <v>110</v>
      </c>
      <c r="F14" s="8">
        <v>3.26</v>
      </c>
      <c r="G14" s="12">
        <v>73</v>
      </c>
      <c r="H14" s="8">
        <v>2.2200000000000002</v>
      </c>
      <c r="I14" s="12">
        <v>0</v>
      </c>
    </row>
    <row r="15" spans="2:9" ht="15" customHeight="1" x14ac:dyDescent="0.2">
      <c r="B15" t="s">
        <v>85</v>
      </c>
      <c r="C15" s="12">
        <v>635</v>
      </c>
      <c r="D15" s="8">
        <v>9.52</v>
      </c>
      <c r="E15" s="12">
        <v>571</v>
      </c>
      <c r="F15" s="8">
        <v>16.93</v>
      </c>
      <c r="G15" s="12">
        <v>64</v>
      </c>
      <c r="H15" s="8">
        <v>1.95</v>
      </c>
      <c r="I15" s="12">
        <v>0</v>
      </c>
    </row>
    <row r="16" spans="2:9" ht="15" customHeight="1" x14ac:dyDescent="0.2">
      <c r="B16" t="s">
        <v>86</v>
      </c>
      <c r="C16" s="12">
        <v>570</v>
      </c>
      <c r="D16" s="8">
        <v>8.5399999999999991</v>
      </c>
      <c r="E16" s="12">
        <v>450</v>
      </c>
      <c r="F16" s="8">
        <v>13.34</v>
      </c>
      <c r="G16" s="12">
        <v>120</v>
      </c>
      <c r="H16" s="8">
        <v>3.65</v>
      </c>
      <c r="I16" s="12">
        <v>0</v>
      </c>
    </row>
    <row r="17" spans="2:9" ht="15" customHeight="1" x14ac:dyDescent="0.2">
      <c r="B17" t="s">
        <v>87</v>
      </c>
      <c r="C17" s="12">
        <v>191</v>
      </c>
      <c r="D17" s="8">
        <v>2.86</v>
      </c>
      <c r="E17" s="12">
        <v>158</v>
      </c>
      <c r="F17" s="8">
        <v>4.68</v>
      </c>
      <c r="G17" s="12">
        <v>32</v>
      </c>
      <c r="H17" s="8">
        <v>0.97</v>
      </c>
      <c r="I17" s="12">
        <v>0</v>
      </c>
    </row>
    <row r="18" spans="2:9" ht="15" customHeight="1" x14ac:dyDescent="0.2">
      <c r="B18" t="s">
        <v>88</v>
      </c>
      <c r="C18" s="12">
        <v>325</v>
      </c>
      <c r="D18" s="8">
        <v>4.87</v>
      </c>
      <c r="E18" s="12">
        <v>206</v>
      </c>
      <c r="F18" s="8">
        <v>6.11</v>
      </c>
      <c r="G18" s="12">
        <v>118</v>
      </c>
      <c r="H18" s="8">
        <v>3.59</v>
      </c>
      <c r="I18" s="12">
        <v>0</v>
      </c>
    </row>
    <row r="19" spans="2:9" ht="15" customHeight="1" x14ac:dyDescent="0.2">
      <c r="B19" t="s">
        <v>89</v>
      </c>
      <c r="C19" s="12">
        <v>210</v>
      </c>
      <c r="D19" s="8">
        <v>3.15</v>
      </c>
      <c r="E19" s="12">
        <v>96</v>
      </c>
      <c r="F19" s="8">
        <v>2.85</v>
      </c>
      <c r="G19" s="12">
        <v>111</v>
      </c>
      <c r="H19" s="8">
        <v>3.38</v>
      </c>
      <c r="I19" s="12">
        <v>2</v>
      </c>
    </row>
    <row r="20" spans="2:9" ht="15" customHeight="1" x14ac:dyDescent="0.2">
      <c r="B20" s="9" t="s">
        <v>271</v>
      </c>
      <c r="C20" s="12">
        <f>SUM(LTBL_27212[総数／事業所数])</f>
        <v>6671</v>
      </c>
      <c r="E20" s="12">
        <f>SUBTOTAL(109,LTBL_27212[個人／事業所数])</f>
        <v>3373</v>
      </c>
      <c r="G20" s="12">
        <f>SUBTOTAL(109,LTBL_27212[法人／事業所数])</f>
        <v>3287</v>
      </c>
      <c r="I20" s="12">
        <f>SUBTOTAL(109,LTBL_27212[法人以外の団体／事業所数])</f>
        <v>6</v>
      </c>
    </row>
    <row r="21" spans="2:9" ht="15" customHeight="1" x14ac:dyDescent="0.2">
      <c r="E21" s="11">
        <f>LTBL_27212[[#Totals],[個人／事業所数]]/LTBL_27212[[#Totals],[総数／事業所数]]</f>
        <v>0.50562134612501874</v>
      </c>
      <c r="G21" s="11">
        <f>LTBL_27212[[#Totals],[法人／事業所数]]/LTBL_27212[[#Totals],[総数／事業所数]]</f>
        <v>0.49272972567830908</v>
      </c>
      <c r="I21" s="11">
        <f>LTBL_27212[[#Totals],[法人以外の団体／事業所数]]/LTBL_27212[[#Totals],[総数／事業所数]]</f>
        <v>8.9941538000299802E-4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110</v>
      </c>
      <c r="C24" s="12">
        <v>628</v>
      </c>
      <c r="D24" s="8">
        <v>9.41</v>
      </c>
      <c r="E24" s="12">
        <v>139</v>
      </c>
      <c r="F24" s="8">
        <v>4.12</v>
      </c>
      <c r="G24" s="12">
        <v>487</v>
      </c>
      <c r="H24" s="8">
        <v>14.82</v>
      </c>
      <c r="I24" s="12">
        <v>0</v>
      </c>
    </row>
    <row r="25" spans="2:9" ht="15" customHeight="1" x14ac:dyDescent="0.2">
      <c r="B25" t="s">
        <v>113</v>
      </c>
      <c r="C25" s="12">
        <v>590</v>
      </c>
      <c r="D25" s="8">
        <v>8.84</v>
      </c>
      <c r="E25" s="12">
        <v>554</v>
      </c>
      <c r="F25" s="8">
        <v>16.420000000000002</v>
      </c>
      <c r="G25" s="12">
        <v>36</v>
      </c>
      <c r="H25" s="8">
        <v>1.1000000000000001</v>
      </c>
      <c r="I25" s="12">
        <v>0</v>
      </c>
    </row>
    <row r="26" spans="2:9" ht="15" customHeight="1" x14ac:dyDescent="0.2">
      <c r="B26" t="s">
        <v>101</v>
      </c>
      <c r="C26" s="12">
        <v>575</v>
      </c>
      <c r="D26" s="8">
        <v>8.6199999999999992</v>
      </c>
      <c r="E26" s="12">
        <v>263</v>
      </c>
      <c r="F26" s="8">
        <v>7.8</v>
      </c>
      <c r="G26" s="12">
        <v>312</v>
      </c>
      <c r="H26" s="8">
        <v>9.49</v>
      </c>
      <c r="I26" s="12">
        <v>0</v>
      </c>
    </row>
    <row r="27" spans="2:9" ht="15" customHeight="1" x14ac:dyDescent="0.2">
      <c r="B27" t="s">
        <v>114</v>
      </c>
      <c r="C27" s="12">
        <v>472</v>
      </c>
      <c r="D27" s="8">
        <v>7.08</v>
      </c>
      <c r="E27" s="12">
        <v>395</v>
      </c>
      <c r="F27" s="8">
        <v>11.71</v>
      </c>
      <c r="G27" s="12">
        <v>77</v>
      </c>
      <c r="H27" s="8">
        <v>2.34</v>
      </c>
      <c r="I27" s="12">
        <v>0</v>
      </c>
    </row>
    <row r="28" spans="2:9" ht="15" customHeight="1" x14ac:dyDescent="0.2">
      <c r="B28" t="s">
        <v>108</v>
      </c>
      <c r="C28" s="12">
        <v>303</v>
      </c>
      <c r="D28" s="8">
        <v>4.54</v>
      </c>
      <c r="E28" s="12">
        <v>196</v>
      </c>
      <c r="F28" s="8">
        <v>5.81</v>
      </c>
      <c r="G28" s="12">
        <v>105</v>
      </c>
      <c r="H28" s="8">
        <v>3.19</v>
      </c>
      <c r="I28" s="12">
        <v>2</v>
      </c>
    </row>
    <row r="29" spans="2:9" ht="15" customHeight="1" x14ac:dyDescent="0.2">
      <c r="B29" t="s">
        <v>98</v>
      </c>
      <c r="C29" s="12">
        <v>289</v>
      </c>
      <c r="D29" s="8">
        <v>4.33</v>
      </c>
      <c r="E29" s="12">
        <v>85</v>
      </c>
      <c r="F29" s="8">
        <v>2.52</v>
      </c>
      <c r="G29" s="12">
        <v>204</v>
      </c>
      <c r="H29" s="8">
        <v>6.21</v>
      </c>
      <c r="I29" s="12">
        <v>0</v>
      </c>
    </row>
    <row r="30" spans="2:9" ht="15" customHeight="1" x14ac:dyDescent="0.2">
      <c r="B30" t="s">
        <v>127</v>
      </c>
      <c r="C30" s="12">
        <v>242</v>
      </c>
      <c r="D30" s="8">
        <v>3.63</v>
      </c>
      <c r="E30" s="12">
        <v>76</v>
      </c>
      <c r="F30" s="8">
        <v>2.25</v>
      </c>
      <c r="G30" s="12">
        <v>166</v>
      </c>
      <c r="H30" s="8">
        <v>5.05</v>
      </c>
      <c r="I30" s="12">
        <v>0</v>
      </c>
    </row>
    <row r="31" spans="2:9" ht="15" customHeight="1" x14ac:dyDescent="0.2">
      <c r="B31" t="s">
        <v>116</v>
      </c>
      <c r="C31" s="12">
        <v>241</v>
      </c>
      <c r="D31" s="8">
        <v>3.61</v>
      </c>
      <c r="E31" s="12">
        <v>205</v>
      </c>
      <c r="F31" s="8">
        <v>6.08</v>
      </c>
      <c r="G31" s="12">
        <v>36</v>
      </c>
      <c r="H31" s="8">
        <v>1.1000000000000001</v>
      </c>
      <c r="I31" s="12">
        <v>0</v>
      </c>
    </row>
    <row r="32" spans="2:9" ht="15" customHeight="1" x14ac:dyDescent="0.2">
      <c r="B32" t="s">
        <v>106</v>
      </c>
      <c r="C32" s="12">
        <v>223</v>
      </c>
      <c r="D32" s="8">
        <v>3.34</v>
      </c>
      <c r="E32" s="12">
        <v>172</v>
      </c>
      <c r="F32" s="8">
        <v>5.0999999999999996</v>
      </c>
      <c r="G32" s="12">
        <v>49</v>
      </c>
      <c r="H32" s="8">
        <v>1.49</v>
      </c>
      <c r="I32" s="12">
        <v>2</v>
      </c>
    </row>
    <row r="33" spans="2:9" ht="15" customHeight="1" x14ac:dyDescent="0.2">
      <c r="B33" t="s">
        <v>132</v>
      </c>
      <c r="C33" s="12">
        <v>199</v>
      </c>
      <c r="D33" s="8">
        <v>2.98</v>
      </c>
      <c r="E33" s="12">
        <v>85</v>
      </c>
      <c r="F33" s="8">
        <v>2.52</v>
      </c>
      <c r="G33" s="12">
        <v>114</v>
      </c>
      <c r="H33" s="8">
        <v>3.47</v>
      </c>
      <c r="I33" s="12">
        <v>0</v>
      </c>
    </row>
    <row r="34" spans="2:9" ht="15" customHeight="1" x14ac:dyDescent="0.2">
      <c r="B34" t="s">
        <v>115</v>
      </c>
      <c r="C34" s="12">
        <v>191</v>
      </c>
      <c r="D34" s="8">
        <v>2.86</v>
      </c>
      <c r="E34" s="12">
        <v>158</v>
      </c>
      <c r="F34" s="8">
        <v>4.68</v>
      </c>
      <c r="G34" s="12">
        <v>32</v>
      </c>
      <c r="H34" s="8">
        <v>0.97</v>
      </c>
      <c r="I34" s="12">
        <v>0</v>
      </c>
    </row>
    <row r="35" spans="2:9" ht="15" customHeight="1" x14ac:dyDescent="0.2">
      <c r="B35" t="s">
        <v>99</v>
      </c>
      <c r="C35" s="12">
        <v>181</v>
      </c>
      <c r="D35" s="8">
        <v>2.71</v>
      </c>
      <c r="E35" s="12">
        <v>55</v>
      </c>
      <c r="F35" s="8">
        <v>1.63</v>
      </c>
      <c r="G35" s="12">
        <v>126</v>
      </c>
      <c r="H35" s="8">
        <v>3.83</v>
      </c>
      <c r="I35" s="12">
        <v>0</v>
      </c>
    </row>
    <row r="36" spans="2:9" ht="15" customHeight="1" x14ac:dyDescent="0.2">
      <c r="B36" t="s">
        <v>100</v>
      </c>
      <c r="C36" s="12">
        <v>169</v>
      </c>
      <c r="D36" s="8">
        <v>2.5299999999999998</v>
      </c>
      <c r="E36" s="12">
        <v>43</v>
      </c>
      <c r="F36" s="8">
        <v>1.27</v>
      </c>
      <c r="G36" s="12">
        <v>126</v>
      </c>
      <c r="H36" s="8">
        <v>3.83</v>
      </c>
      <c r="I36" s="12">
        <v>0</v>
      </c>
    </row>
    <row r="37" spans="2:9" ht="15" customHeight="1" x14ac:dyDescent="0.2">
      <c r="B37" t="s">
        <v>142</v>
      </c>
      <c r="C37" s="12">
        <v>131</v>
      </c>
      <c r="D37" s="8">
        <v>1.96</v>
      </c>
      <c r="E37" s="12">
        <v>78</v>
      </c>
      <c r="F37" s="8">
        <v>2.31</v>
      </c>
      <c r="G37" s="12">
        <v>53</v>
      </c>
      <c r="H37" s="8">
        <v>1.61</v>
      </c>
      <c r="I37" s="12">
        <v>0</v>
      </c>
    </row>
    <row r="38" spans="2:9" ht="15" customHeight="1" x14ac:dyDescent="0.2">
      <c r="B38" t="s">
        <v>107</v>
      </c>
      <c r="C38" s="12">
        <v>129</v>
      </c>
      <c r="D38" s="8">
        <v>1.93</v>
      </c>
      <c r="E38" s="12">
        <v>83</v>
      </c>
      <c r="F38" s="8">
        <v>2.46</v>
      </c>
      <c r="G38" s="12">
        <v>46</v>
      </c>
      <c r="H38" s="8">
        <v>1.4</v>
      </c>
      <c r="I38" s="12">
        <v>0</v>
      </c>
    </row>
    <row r="39" spans="2:9" ht="15" customHeight="1" x14ac:dyDescent="0.2">
      <c r="B39" t="s">
        <v>102</v>
      </c>
      <c r="C39" s="12">
        <v>119</v>
      </c>
      <c r="D39" s="8">
        <v>1.78</v>
      </c>
      <c r="E39" s="12">
        <v>23</v>
      </c>
      <c r="F39" s="8">
        <v>0.68</v>
      </c>
      <c r="G39" s="12">
        <v>96</v>
      </c>
      <c r="H39" s="8">
        <v>2.92</v>
      </c>
      <c r="I39" s="12">
        <v>0</v>
      </c>
    </row>
    <row r="40" spans="2:9" ht="15" customHeight="1" x14ac:dyDescent="0.2">
      <c r="B40" t="s">
        <v>126</v>
      </c>
      <c r="C40" s="12">
        <v>118</v>
      </c>
      <c r="D40" s="8">
        <v>1.77</v>
      </c>
      <c r="E40" s="12">
        <v>60</v>
      </c>
      <c r="F40" s="8">
        <v>1.78</v>
      </c>
      <c r="G40" s="12">
        <v>58</v>
      </c>
      <c r="H40" s="8">
        <v>1.76</v>
      </c>
      <c r="I40" s="12">
        <v>0</v>
      </c>
    </row>
    <row r="41" spans="2:9" ht="15" customHeight="1" x14ac:dyDescent="0.2">
      <c r="B41" t="s">
        <v>105</v>
      </c>
      <c r="C41" s="12">
        <v>107</v>
      </c>
      <c r="D41" s="8">
        <v>1.6</v>
      </c>
      <c r="E41" s="12">
        <v>62</v>
      </c>
      <c r="F41" s="8">
        <v>1.84</v>
      </c>
      <c r="G41" s="12">
        <v>45</v>
      </c>
      <c r="H41" s="8">
        <v>1.37</v>
      </c>
      <c r="I41" s="12">
        <v>0</v>
      </c>
    </row>
    <row r="42" spans="2:9" ht="15" customHeight="1" x14ac:dyDescent="0.2">
      <c r="B42" t="s">
        <v>111</v>
      </c>
      <c r="C42" s="12">
        <v>105</v>
      </c>
      <c r="D42" s="8">
        <v>1.57</v>
      </c>
      <c r="E42" s="12">
        <v>78</v>
      </c>
      <c r="F42" s="8">
        <v>2.31</v>
      </c>
      <c r="G42" s="12">
        <v>27</v>
      </c>
      <c r="H42" s="8">
        <v>0.82</v>
      </c>
      <c r="I42" s="12">
        <v>0</v>
      </c>
    </row>
    <row r="43" spans="2:9" ht="15" customHeight="1" x14ac:dyDescent="0.2">
      <c r="B43" t="s">
        <v>134</v>
      </c>
      <c r="C43" s="12">
        <v>102</v>
      </c>
      <c r="D43" s="8">
        <v>1.53</v>
      </c>
      <c r="E43" s="12">
        <v>47</v>
      </c>
      <c r="F43" s="8">
        <v>1.39</v>
      </c>
      <c r="G43" s="12">
        <v>55</v>
      </c>
      <c r="H43" s="8">
        <v>1.67</v>
      </c>
      <c r="I43" s="12">
        <v>0</v>
      </c>
    </row>
    <row r="46" spans="2:9" ht="33" customHeight="1" x14ac:dyDescent="0.2">
      <c r="B46" t="s">
        <v>273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160</v>
      </c>
      <c r="C47" s="12">
        <v>231</v>
      </c>
      <c r="D47" s="8">
        <v>3.46</v>
      </c>
      <c r="E47" s="12">
        <v>45</v>
      </c>
      <c r="F47" s="8">
        <v>1.33</v>
      </c>
      <c r="G47" s="12">
        <v>186</v>
      </c>
      <c r="H47" s="8">
        <v>5.66</v>
      </c>
      <c r="I47" s="12">
        <v>0</v>
      </c>
    </row>
    <row r="48" spans="2:9" ht="15" customHeight="1" x14ac:dyDescent="0.2">
      <c r="B48" t="s">
        <v>169</v>
      </c>
      <c r="C48" s="12">
        <v>229</v>
      </c>
      <c r="D48" s="8">
        <v>3.43</v>
      </c>
      <c r="E48" s="12">
        <v>201</v>
      </c>
      <c r="F48" s="8">
        <v>5.96</v>
      </c>
      <c r="G48" s="12">
        <v>28</v>
      </c>
      <c r="H48" s="8">
        <v>0.85</v>
      </c>
      <c r="I48" s="12">
        <v>0</v>
      </c>
    </row>
    <row r="49" spans="2:9" ht="15" customHeight="1" x14ac:dyDescent="0.2">
      <c r="B49" t="s">
        <v>171</v>
      </c>
      <c r="C49" s="12">
        <v>184</v>
      </c>
      <c r="D49" s="8">
        <v>2.76</v>
      </c>
      <c r="E49" s="12">
        <v>160</v>
      </c>
      <c r="F49" s="8">
        <v>4.74</v>
      </c>
      <c r="G49" s="12">
        <v>24</v>
      </c>
      <c r="H49" s="8">
        <v>0.73</v>
      </c>
      <c r="I49" s="12">
        <v>0</v>
      </c>
    </row>
    <row r="50" spans="2:9" ht="15" customHeight="1" x14ac:dyDescent="0.2">
      <c r="B50" t="s">
        <v>159</v>
      </c>
      <c r="C50" s="12">
        <v>183</v>
      </c>
      <c r="D50" s="8">
        <v>2.74</v>
      </c>
      <c r="E50" s="12">
        <v>15</v>
      </c>
      <c r="F50" s="8">
        <v>0.44</v>
      </c>
      <c r="G50" s="12">
        <v>168</v>
      </c>
      <c r="H50" s="8">
        <v>5.1100000000000003</v>
      </c>
      <c r="I50" s="12">
        <v>0</v>
      </c>
    </row>
    <row r="51" spans="2:9" ht="15" customHeight="1" x14ac:dyDescent="0.2">
      <c r="B51" t="s">
        <v>192</v>
      </c>
      <c r="C51" s="12">
        <v>177</v>
      </c>
      <c r="D51" s="8">
        <v>2.65</v>
      </c>
      <c r="E51" s="12">
        <v>86</v>
      </c>
      <c r="F51" s="8">
        <v>2.5499999999999998</v>
      </c>
      <c r="G51" s="12">
        <v>91</v>
      </c>
      <c r="H51" s="8">
        <v>2.77</v>
      </c>
      <c r="I51" s="12">
        <v>0</v>
      </c>
    </row>
    <row r="52" spans="2:9" ht="15" customHeight="1" x14ac:dyDescent="0.2">
      <c r="B52" t="s">
        <v>167</v>
      </c>
      <c r="C52" s="12">
        <v>165</v>
      </c>
      <c r="D52" s="8">
        <v>2.4700000000000002</v>
      </c>
      <c r="E52" s="12">
        <v>156</v>
      </c>
      <c r="F52" s="8">
        <v>4.62</v>
      </c>
      <c r="G52" s="12">
        <v>9</v>
      </c>
      <c r="H52" s="8">
        <v>0.27</v>
      </c>
      <c r="I52" s="12">
        <v>0</v>
      </c>
    </row>
    <row r="53" spans="2:9" ht="15" customHeight="1" x14ac:dyDescent="0.2">
      <c r="B53" t="s">
        <v>168</v>
      </c>
      <c r="C53" s="12">
        <v>126</v>
      </c>
      <c r="D53" s="8">
        <v>1.89</v>
      </c>
      <c r="E53" s="12">
        <v>121</v>
      </c>
      <c r="F53" s="8">
        <v>3.59</v>
      </c>
      <c r="G53" s="12">
        <v>5</v>
      </c>
      <c r="H53" s="8">
        <v>0.15</v>
      </c>
      <c r="I53" s="12">
        <v>0</v>
      </c>
    </row>
    <row r="54" spans="2:9" ht="15" customHeight="1" x14ac:dyDescent="0.2">
      <c r="B54" t="s">
        <v>170</v>
      </c>
      <c r="C54" s="12">
        <v>125</v>
      </c>
      <c r="D54" s="8">
        <v>1.87</v>
      </c>
      <c r="E54" s="12">
        <v>111</v>
      </c>
      <c r="F54" s="8">
        <v>3.29</v>
      </c>
      <c r="G54" s="12">
        <v>14</v>
      </c>
      <c r="H54" s="8">
        <v>0.43</v>
      </c>
      <c r="I54" s="12">
        <v>0</v>
      </c>
    </row>
    <row r="55" spans="2:9" ht="15" customHeight="1" x14ac:dyDescent="0.2">
      <c r="B55" t="s">
        <v>165</v>
      </c>
      <c r="C55" s="12">
        <v>115</v>
      </c>
      <c r="D55" s="8">
        <v>1.72</v>
      </c>
      <c r="E55" s="12">
        <v>108</v>
      </c>
      <c r="F55" s="8">
        <v>3.2</v>
      </c>
      <c r="G55" s="12">
        <v>7</v>
      </c>
      <c r="H55" s="8">
        <v>0.21</v>
      </c>
      <c r="I55" s="12">
        <v>0</v>
      </c>
    </row>
    <row r="56" spans="2:9" ht="15" customHeight="1" x14ac:dyDescent="0.2">
      <c r="B56" t="s">
        <v>190</v>
      </c>
      <c r="C56" s="12">
        <v>114</v>
      </c>
      <c r="D56" s="8">
        <v>1.71</v>
      </c>
      <c r="E56" s="12">
        <v>39</v>
      </c>
      <c r="F56" s="8">
        <v>1.1599999999999999</v>
      </c>
      <c r="G56" s="12">
        <v>75</v>
      </c>
      <c r="H56" s="8">
        <v>2.2799999999999998</v>
      </c>
      <c r="I56" s="12">
        <v>0</v>
      </c>
    </row>
    <row r="57" spans="2:9" ht="15" customHeight="1" x14ac:dyDescent="0.2">
      <c r="B57" t="s">
        <v>157</v>
      </c>
      <c r="C57" s="12">
        <v>113</v>
      </c>
      <c r="D57" s="8">
        <v>1.69</v>
      </c>
      <c r="E57" s="12">
        <v>91</v>
      </c>
      <c r="F57" s="8">
        <v>2.7</v>
      </c>
      <c r="G57" s="12">
        <v>21</v>
      </c>
      <c r="H57" s="8">
        <v>0.64</v>
      </c>
      <c r="I57" s="12">
        <v>1</v>
      </c>
    </row>
    <row r="58" spans="2:9" ht="15" customHeight="1" x14ac:dyDescent="0.2">
      <c r="B58" t="s">
        <v>161</v>
      </c>
      <c r="C58" s="12">
        <v>109</v>
      </c>
      <c r="D58" s="8">
        <v>1.63</v>
      </c>
      <c r="E58" s="12">
        <v>78</v>
      </c>
      <c r="F58" s="8">
        <v>2.31</v>
      </c>
      <c r="G58" s="12">
        <v>31</v>
      </c>
      <c r="H58" s="8">
        <v>0.94</v>
      </c>
      <c r="I58" s="12">
        <v>0</v>
      </c>
    </row>
    <row r="59" spans="2:9" ht="15" customHeight="1" x14ac:dyDescent="0.2">
      <c r="B59" t="s">
        <v>162</v>
      </c>
      <c r="C59" s="12">
        <v>105</v>
      </c>
      <c r="D59" s="8">
        <v>1.57</v>
      </c>
      <c r="E59" s="12">
        <v>1</v>
      </c>
      <c r="F59" s="8">
        <v>0.03</v>
      </c>
      <c r="G59" s="12">
        <v>102</v>
      </c>
      <c r="H59" s="8">
        <v>3.1</v>
      </c>
      <c r="I59" s="12">
        <v>0</v>
      </c>
    </row>
    <row r="60" spans="2:9" ht="15" customHeight="1" x14ac:dyDescent="0.2">
      <c r="B60" t="s">
        <v>232</v>
      </c>
      <c r="C60" s="12">
        <v>102</v>
      </c>
      <c r="D60" s="8">
        <v>1.53</v>
      </c>
      <c r="E60" s="12">
        <v>37</v>
      </c>
      <c r="F60" s="8">
        <v>1.1000000000000001</v>
      </c>
      <c r="G60" s="12">
        <v>65</v>
      </c>
      <c r="H60" s="8">
        <v>1.98</v>
      </c>
      <c r="I60" s="12">
        <v>0</v>
      </c>
    </row>
    <row r="61" spans="2:9" ht="15" customHeight="1" x14ac:dyDescent="0.2">
      <c r="B61" t="s">
        <v>166</v>
      </c>
      <c r="C61" s="12">
        <v>101</v>
      </c>
      <c r="D61" s="8">
        <v>1.51</v>
      </c>
      <c r="E61" s="12">
        <v>101</v>
      </c>
      <c r="F61" s="8">
        <v>2.99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164</v>
      </c>
      <c r="C62" s="12">
        <v>90</v>
      </c>
      <c r="D62" s="8">
        <v>1.35</v>
      </c>
      <c r="E62" s="12">
        <v>86</v>
      </c>
      <c r="F62" s="8">
        <v>2.5499999999999998</v>
      </c>
      <c r="G62" s="12">
        <v>4</v>
      </c>
      <c r="H62" s="8">
        <v>0.12</v>
      </c>
      <c r="I62" s="12">
        <v>0</v>
      </c>
    </row>
    <row r="63" spans="2:9" ht="15" customHeight="1" x14ac:dyDescent="0.2">
      <c r="B63" t="s">
        <v>231</v>
      </c>
      <c r="C63" s="12">
        <v>86</v>
      </c>
      <c r="D63" s="8">
        <v>1.29</v>
      </c>
      <c r="E63" s="12">
        <v>41</v>
      </c>
      <c r="F63" s="8">
        <v>1.22</v>
      </c>
      <c r="G63" s="12">
        <v>45</v>
      </c>
      <c r="H63" s="8">
        <v>1.37</v>
      </c>
      <c r="I63" s="12">
        <v>0</v>
      </c>
    </row>
    <row r="64" spans="2:9" ht="15" customHeight="1" x14ac:dyDescent="0.2">
      <c r="B64" t="s">
        <v>202</v>
      </c>
      <c r="C64" s="12">
        <v>86</v>
      </c>
      <c r="D64" s="8">
        <v>1.29</v>
      </c>
      <c r="E64" s="12">
        <v>33</v>
      </c>
      <c r="F64" s="8">
        <v>0.98</v>
      </c>
      <c r="G64" s="12">
        <v>53</v>
      </c>
      <c r="H64" s="8">
        <v>1.61</v>
      </c>
      <c r="I64" s="12">
        <v>0</v>
      </c>
    </row>
    <row r="65" spans="2:9" ht="15" customHeight="1" x14ac:dyDescent="0.2">
      <c r="B65" t="s">
        <v>156</v>
      </c>
      <c r="C65" s="12">
        <v>86</v>
      </c>
      <c r="D65" s="8">
        <v>1.29</v>
      </c>
      <c r="E65" s="12">
        <v>62</v>
      </c>
      <c r="F65" s="8">
        <v>1.84</v>
      </c>
      <c r="G65" s="12">
        <v>22</v>
      </c>
      <c r="H65" s="8">
        <v>0.67</v>
      </c>
      <c r="I65" s="12">
        <v>2</v>
      </c>
    </row>
    <row r="66" spans="2:9" ht="15" customHeight="1" x14ac:dyDescent="0.2">
      <c r="B66" t="s">
        <v>198</v>
      </c>
      <c r="C66" s="12">
        <v>84</v>
      </c>
      <c r="D66" s="8">
        <v>1.26</v>
      </c>
      <c r="E66" s="12">
        <v>66</v>
      </c>
      <c r="F66" s="8">
        <v>1.96</v>
      </c>
      <c r="G66" s="12">
        <v>18</v>
      </c>
      <c r="H66" s="8">
        <v>0.55000000000000004</v>
      </c>
      <c r="I66" s="12">
        <v>0</v>
      </c>
    </row>
    <row r="68" spans="2:9" ht="15" customHeight="1" x14ac:dyDescent="0.2">
      <c r="B68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21124-6CF5-4407-8A36-DFA1B6B19D7E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269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4</v>
      </c>
      <c r="D5" s="8">
        <v>0</v>
      </c>
      <c r="E5" s="12">
        <v>0</v>
      </c>
      <c r="F5" s="8">
        <v>0</v>
      </c>
      <c r="G5" s="12">
        <v>4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21668</v>
      </c>
      <c r="D6" s="8">
        <v>9.9</v>
      </c>
      <c r="E6" s="12">
        <v>4360</v>
      </c>
      <c r="F6" s="8">
        <v>4.2300000000000004</v>
      </c>
      <c r="G6" s="12">
        <v>17305</v>
      </c>
      <c r="H6" s="8">
        <v>15.07</v>
      </c>
      <c r="I6" s="12">
        <v>3</v>
      </c>
    </row>
    <row r="7" spans="2:9" ht="15" customHeight="1" x14ac:dyDescent="0.2">
      <c r="B7" t="s">
        <v>77</v>
      </c>
      <c r="C7" s="12">
        <v>26971</v>
      </c>
      <c r="D7" s="8">
        <v>12.33</v>
      </c>
      <c r="E7" s="12">
        <v>9813</v>
      </c>
      <c r="F7" s="8">
        <v>9.51</v>
      </c>
      <c r="G7" s="12">
        <v>17153</v>
      </c>
      <c r="H7" s="8">
        <v>14.93</v>
      </c>
      <c r="I7" s="12">
        <v>4</v>
      </c>
    </row>
    <row r="8" spans="2:9" ht="15" customHeight="1" x14ac:dyDescent="0.2">
      <c r="B8" t="s">
        <v>78</v>
      </c>
      <c r="C8" s="12">
        <v>149</v>
      </c>
      <c r="D8" s="8">
        <v>7.0000000000000007E-2</v>
      </c>
      <c r="E8" s="12">
        <v>2</v>
      </c>
      <c r="F8" s="8">
        <v>0</v>
      </c>
      <c r="G8" s="12">
        <v>138</v>
      </c>
      <c r="H8" s="8">
        <v>0.12</v>
      </c>
      <c r="I8" s="12">
        <v>0</v>
      </c>
    </row>
    <row r="9" spans="2:9" ht="15" customHeight="1" x14ac:dyDescent="0.2">
      <c r="B9" t="s">
        <v>79</v>
      </c>
      <c r="C9" s="12">
        <v>3233</v>
      </c>
      <c r="D9" s="8">
        <v>1.48</v>
      </c>
      <c r="E9" s="12">
        <v>213</v>
      </c>
      <c r="F9" s="8">
        <v>0.21</v>
      </c>
      <c r="G9" s="12">
        <v>3014</v>
      </c>
      <c r="H9" s="8">
        <v>2.62</v>
      </c>
      <c r="I9" s="12">
        <v>6</v>
      </c>
    </row>
    <row r="10" spans="2:9" ht="15" customHeight="1" x14ac:dyDescent="0.2">
      <c r="B10" t="s">
        <v>80</v>
      </c>
      <c r="C10" s="12">
        <v>2748</v>
      </c>
      <c r="D10" s="8">
        <v>1.26</v>
      </c>
      <c r="E10" s="12">
        <v>691</v>
      </c>
      <c r="F10" s="8">
        <v>0.67</v>
      </c>
      <c r="G10" s="12">
        <v>2047</v>
      </c>
      <c r="H10" s="8">
        <v>1.78</v>
      </c>
      <c r="I10" s="12">
        <v>8</v>
      </c>
    </row>
    <row r="11" spans="2:9" ht="15" customHeight="1" x14ac:dyDescent="0.2">
      <c r="B11" t="s">
        <v>81</v>
      </c>
      <c r="C11" s="12">
        <v>46834</v>
      </c>
      <c r="D11" s="8">
        <v>21.4</v>
      </c>
      <c r="E11" s="12">
        <v>20430</v>
      </c>
      <c r="F11" s="8">
        <v>19.8</v>
      </c>
      <c r="G11" s="12">
        <v>26384</v>
      </c>
      <c r="H11" s="8">
        <v>22.97</v>
      </c>
      <c r="I11" s="12">
        <v>20</v>
      </c>
    </row>
    <row r="12" spans="2:9" ht="15" customHeight="1" x14ac:dyDescent="0.2">
      <c r="B12" t="s">
        <v>82</v>
      </c>
      <c r="C12" s="12">
        <v>1196</v>
      </c>
      <c r="D12" s="8">
        <v>0.55000000000000004</v>
      </c>
      <c r="E12" s="12">
        <v>164</v>
      </c>
      <c r="F12" s="8">
        <v>0.16</v>
      </c>
      <c r="G12" s="12">
        <v>1032</v>
      </c>
      <c r="H12" s="8">
        <v>0.9</v>
      </c>
      <c r="I12" s="12">
        <v>0</v>
      </c>
    </row>
    <row r="13" spans="2:9" ht="15" customHeight="1" x14ac:dyDescent="0.2">
      <c r="B13" t="s">
        <v>83</v>
      </c>
      <c r="C13" s="12">
        <v>29549</v>
      </c>
      <c r="D13" s="8">
        <v>13.5</v>
      </c>
      <c r="E13" s="12">
        <v>8313</v>
      </c>
      <c r="F13" s="8">
        <v>8.06</v>
      </c>
      <c r="G13" s="12">
        <v>21196</v>
      </c>
      <c r="H13" s="8">
        <v>18.45</v>
      </c>
      <c r="I13" s="12">
        <v>34</v>
      </c>
    </row>
    <row r="14" spans="2:9" ht="15" customHeight="1" x14ac:dyDescent="0.2">
      <c r="B14" t="s">
        <v>84</v>
      </c>
      <c r="C14" s="12">
        <v>14809</v>
      </c>
      <c r="D14" s="8">
        <v>6.77</v>
      </c>
      <c r="E14" s="12">
        <v>7742</v>
      </c>
      <c r="F14" s="8">
        <v>7.5</v>
      </c>
      <c r="G14" s="12">
        <v>7030</v>
      </c>
      <c r="H14" s="8">
        <v>6.12</v>
      </c>
      <c r="I14" s="12">
        <v>25</v>
      </c>
    </row>
    <row r="15" spans="2:9" ht="15" customHeight="1" x14ac:dyDescent="0.2">
      <c r="B15" t="s">
        <v>85</v>
      </c>
      <c r="C15" s="12">
        <v>26582</v>
      </c>
      <c r="D15" s="8">
        <v>12.15</v>
      </c>
      <c r="E15" s="12">
        <v>22382</v>
      </c>
      <c r="F15" s="8">
        <v>21.69</v>
      </c>
      <c r="G15" s="12">
        <v>4178</v>
      </c>
      <c r="H15" s="8">
        <v>3.64</v>
      </c>
      <c r="I15" s="12">
        <v>8</v>
      </c>
    </row>
    <row r="16" spans="2:9" ht="15" customHeight="1" x14ac:dyDescent="0.2">
      <c r="B16" t="s">
        <v>86</v>
      </c>
      <c r="C16" s="12">
        <v>20326</v>
      </c>
      <c r="D16" s="8">
        <v>9.2899999999999991</v>
      </c>
      <c r="E16" s="12">
        <v>15524</v>
      </c>
      <c r="F16" s="8">
        <v>15.05</v>
      </c>
      <c r="G16" s="12">
        <v>4771</v>
      </c>
      <c r="H16" s="8">
        <v>4.1500000000000004</v>
      </c>
      <c r="I16" s="12">
        <v>13</v>
      </c>
    </row>
    <row r="17" spans="2:9" ht="15" customHeight="1" x14ac:dyDescent="0.2">
      <c r="B17" t="s">
        <v>87</v>
      </c>
      <c r="C17" s="12">
        <v>6621</v>
      </c>
      <c r="D17" s="8">
        <v>3.03</v>
      </c>
      <c r="E17" s="12">
        <v>4512</v>
      </c>
      <c r="F17" s="8">
        <v>4.37</v>
      </c>
      <c r="G17" s="12">
        <v>1902</v>
      </c>
      <c r="H17" s="8">
        <v>1.66</v>
      </c>
      <c r="I17" s="12">
        <v>47</v>
      </c>
    </row>
    <row r="18" spans="2:9" ht="15" customHeight="1" x14ac:dyDescent="0.2">
      <c r="B18" t="s">
        <v>88</v>
      </c>
      <c r="C18" s="12">
        <v>11238</v>
      </c>
      <c r="D18" s="8">
        <v>5.14</v>
      </c>
      <c r="E18" s="12">
        <v>6926</v>
      </c>
      <c r="F18" s="8">
        <v>6.71</v>
      </c>
      <c r="G18" s="12">
        <v>4071</v>
      </c>
      <c r="H18" s="8">
        <v>3.54</v>
      </c>
      <c r="I18" s="12">
        <v>70</v>
      </c>
    </row>
    <row r="19" spans="2:9" ht="15" customHeight="1" x14ac:dyDescent="0.2">
      <c r="B19" t="s">
        <v>89</v>
      </c>
      <c r="C19" s="12">
        <v>6887</v>
      </c>
      <c r="D19" s="8">
        <v>3.15</v>
      </c>
      <c r="E19" s="12">
        <v>2095</v>
      </c>
      <c r="F19" s="8">
        <v>2.0299999999999998</v>
      </c>
      <c r="G19" s="12">
        <v>4631</v>
      </c>
      <c r="H19" s="8">
        <v>4.03</v>
      </c>
      <c r="I19" s="12">
        <v>129</v>
      </c>
    </row>
    <row r="20" spans="2:9" ht="15" customHeight="1" x14ac:dyDescent="0.2">
      <c r="B20" s="9" t="s">
        <v>271</v>
      </c>
      <c r="C20" s="12">
        <f>SUM(LTBL_27000[総数／事業所数])</f>
        <v>218815</v>
      </c>
      <c r="E20" s="12">
        <f>SUBTOTAL(109,LTBL_27000[個人／事業所数])</f>
        <v>103167</v>
      </c>
      <c r="G20" s="12">
        <f>SUBTOTAL(109,LTBL_27000[法人／事業所数])</f>
        <v>114856</v>
      </c>
      <c r="I20" s="12">
        <f>SUBTOTAL(109,LTBL_27000[法人以外の団体／事業所数])</f>
        <v>367</v>
      </c>
    </row>
    <row r="21" spans="2:9" ht="15" customHeight="1" x14ac:dyDescent="0.2">
      <c r="E21" s="11">
        <f>LTBL_27000[[#Totals],[個人／事業所数]]/LTBL_27000[[#Totals],[総数／事業所数]]</f>
        <v>0.47148047437332907</v>
      </c>
      <c r="G21" s="11">
        <f>LTBL_27000[[#Totals],[法人／事業所数]]/LTBL_27000[[#Totals],[総数／事業所数]]</f>
        <v>0.5249000297054589</v>
      </c>
      <c r="I21" s="11">
        <f>LTBL_27000[[#Totals],[法人以外の団体／事業所数]]/LTBL_27000[[#Totals],[総数／事業所数]]</f>
        <v>1.6772159129858557E-3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113</v>
      </c>
      <c r="C24" s="12">
        <v>24648</v>
      </c>
      <c r="D24" s="8">
        <v>11.26</v>
      </c>
      <c r="E24" s="12">
        <v>21681</v>
      </c>
      <c r="F24" s="8">
        <v>21.02</v>
      </c>
      <c r="G24" s="12">
        <v>2959</v>
      </c>
      <c r="H24" s="8">
        <v>2.58</v>
      </c>
      <c r="I24" s="12">
        <v>8</v>
      </c>
    </row>
    <row r="25" spans="2:9" ht="15" customHeight="1" x14ac:dyDescent="0.2">
      <c r="B25" t="s">
        <v>110</v>
      </c>
      <c r="C25" s="12">
        <v>24103</v>
      </c>
      <c r="D25" s="8">
        <v>11.02</v>
      </c>
      <c r="E25" s="12">
        <v>7523</v>
      </c>
      <c r="F25" s="8">
        <v>7.29</v>
      </c>
      <c r="G25" s="12">
        <v>16542</v>
      </c>
      <c r="H25" s="8">
        <v>14.4</v>
      </c>
      <c r="I25" s="12">
        <v>32</v>
      </c>
    </row>
    <row r="26" spans="2:9" ht="15" customHeight="1" x14ac:dyDescent="0.2">
      <c r="B26" t="s">
        <v>114</v>
      </c>
      <c r="C26" s="12">
        <v>16115</v>
      </c>
      <c r="D26" s="8">
        <v>7.36</v>
      </c>
      <c r="E26" s="12">
        <v>13575</v>
      </c>
      <c r="F26" s="8">
        <v>13.16</v>
      </c>
      <c r="G26" s="12">
        <v>2537</v>
      </c>
      <c r="H26" s="8">
        <v>2.21</v>
      </c>
      <c r="I26" s="12">
        <v>3</v>
      </c>
    </row>
    <row r="27" spans="2:9" ht="15" customHeight="1" x14ac:dyDescent="0.2">
      <c r="B27" t="s">
        <v>108</v>
      </c>
      <c r="C27" s="12">
        <v>11068</v>
      </c>
      <c r="D27" s="8">
        <v>5.0599999999999996</v>
      </c>
      <c r="E27" s="12">
        <v>6500</v>
      </c>
      <c r="F27" s="8">
        <v>6.3</v>
      </c>
      <c r="G27" s="12">
        <v>4562</v>
      </c>
      <c r="H27" s="8">
        <v>3.97</v>
      </c>
      <c r="I27" s="12">
        <v>6</v>
      </c>
    </row>
    <row r="28" spans="2:9" ht="15" customHeight="1" x14ac:dyDescent="0.2">
      <c r="B28" t="s">
        <v>111</v>
      </c>
      <c r="C28" s="12">
        <v>10191</v>
      </c>
      <c r="D28" s="8">
        <v>4.66</v>
      </c>
      <c r="E28" s="12">
        <v>6201</v>
      </c>
      <c r="F28" s="8">
        <v>6.01</v>
      </c>
      <c r="G28" s="12">
        <v>3977</v>
      </c>
      <c r="H28" s="8">
        <v>3.46</v>
      </c>
      <c r="I28" s="12">
        <v>13</v>
      </c>
    </row>
    <row r="29" spans="2:9" ht="15" customHeight="1" x14ac:dyDescent="0.2">
      <c r="B29" t="s">
        <v>98</v>
      </c>
      <c r="C29" s="12">
        <v>8629</v>
      </c>
      <c r="D29" s="8">
        <v>3.94</v>
      </c>
      <c r="E29" s="12">
        <v>1529</v>
      </c>
      <c r="F29" s="8">
        <v>1.48</v>
      </c>
      <c r="G29" s="12">
        <v>7099</v>
      </c>
      <c r="H29" s="8">
        <v>6.18</v>
      </c>
      <c r="I29" s="12">
        <v>1</v>
      </c>
    </row>
    <row r="30" spans="2:9" ht="15" customHeight="1" x14ac:dyDescent="0.2">
      <c r="B30" t="s">
        <v>116</v>
      </c>
      <c r="C30" s="12">
        <v>8153</v>
      </c>
      <c r="D30" s="8">
        <v>3.73</v>
      </c>
      <c r="E30" s="12">
        <v>6885</v>
      </c>
      <c r="F30" s="8">
        <v>6.67</v>
      </c>
      <c r="G30" s="12">
        <v>1265</v>
      </c>
      <c r="H30" s="8">
        <v>1.1000000000000001</v>
      </c>
      <c r="I30" s="12">
        <v>3</v>
      </c>
    </row>
    <row r="31" spans="2:9" ht="15" customHeight="1" x14ac:dyDescent="0.2">
      <c r="B31" t="s">
        <v>106</v>
      </c>
      <c r="C31" s="12">
        <v>7593</v>
      </c>
      <c r="D31" s="8">
        <v>3.47</v>
      </c>
      <c r="E31" s="12">
        <v>5592</v>
      </c>
      <c r="F31" s="8">
        <v>5.42</v>
      </c>
      <c r="G31" s="12">
        <v>1996</v>
      </c>
      <c r="H31" s="8">
        <v>1.74</v>
      </c>
      <c r="I31" s="12">
        <v>5</v>
      </c>
    </row>
    <row r="32" spans="2:9" ht="15" customHeight="1" x14ac:dyDescent="0.2">
      <c r="B32" t="s">
        <v>115</v>
      </c>
      <c r="C32" s="12">
        <v>6621</v>
      </c>
      <c r="D32" s="8">
        <v>3.03</v>
      </c>
      <c r="E32" s="12">
        <v>4512</v>
      </c>
      <c r="F32" s="8">
        <v>4.37</v>
      </c>
      <c r="G32" s="12">
        <v>1902</v>
      </c>
      <c r="H32" s="8">
        <v>1.66</v>
      </c>
      <c r="I32" s="12">
        <v>47</v>
      </c>
    </row>
    <row r="33" spans="2:9" ht="15" customHeight="1" x14ac:dyDescent="0.2">
      <c r="B33" t="s">
        <v>100</v>
      </c>
      <c r="C33" s="12">
        <v>6599</v>
      </c>
      <c r="D33" s="8">
        <v>3.02</v>
      </c>
      <c r="E33" s="12">
        <v>1218</v>
      </c>
      <c r="F33" s="8">
        <v>1.18</v>
      </c>
      <c r="G33" s="12">
        <v>5380</v>
      </c>
      <c r="H33" s="8">
        <v>4.68</v>
      </c>
      <c r="I33" s="12">
        <v>1</v>
      </c>
    </row>
    <row r="34" spans="2:9" ht="15" customHeight="1" x14ac:dyDescent="0.2">
      <c r="B34" t="s">
        <v>99</v>
      </c>
      <c r="C34" s="12">
        <v>6440</v>
      </c>
      <c r="D34" s="8">
        <v>2.94</v>
      </c>
      <c r="E34" s="12">
        <v>1613</v>
      </c>
      <c r="F34" s="8">
        <v>1.56</v>
      </c>
      <c r="G34" s="12">
        <v>4826</v>
      </c>
      <c r="H34" s="8">
        <v>4.2</v>
      </c>
      <c r="I34" s="12">
        <v>1</v>
      </c>
    </row>
    <row r="35" spans="2:9" ht="15" customHeight="1" x14ac:dyDescent="0.2">
      <c r="B35" t="s">
        <v>101</v>
      </c>
      <c r="C35" s="12">
        <v>5791</v>
      </c>
      <c r="D35" s="8">
        <v>2.65</v>
      </c>
      <c r="E35" s="12">
        <v>2353</v>
      </c>
      <c r="F35" s="8">
        <v>2.2799999999999998</v>
      </c>
      <c r="G35" s="12">
        <v>3438</v>
      </c>
      <c r="H35" s="8">
        <v>2.99</v>
      </c>
      <c r="I35" s="12">
        <v>0</v>
      </c>
    </row>
    <row r="36" spans="2:9" ht="15" customHeight="1" x14ac:dyDescent="0.2">
      <c r="B36" t="s">
        <v>105</v>
      </c>
      <c r="C36" s="12">
        <v>5273</v>
      </c>
      <c r="D36" s="8">
        <v>2.41</v>
      </c>
      <c r="E36" s="12">
        <v>2653</v>
      </c>
      <c r="F36" s="8">
        <v>2.57</v>
      </c>
      <c r="G36" s="12">
        <v>2617</v>
      </c>
      <c r="H36" s="8">
        <v>2.2799999999999998</v>
      </c>
      <c r="I36" s="12">
        <v>3</v>
      </c>
    </row>
    <row r="37" spans="2:9" ht="15" customHeight="1" x14ac:dyDescent="0.2">
      <c r="B37" t="s">
        <v>107</v>
      </c>
      <c r="C37" s="12">
        <v>4709</v>
      </c>
      <c r="D37" s="8">
        <v>2.15</v>
      </c>
      <c r="E37" s="12">
        <v>2841</v>
      </c>
      <c r="F37" s="8">
        <v>2.75</v>
      </c>
      <c r="G37" s="12">
        <v>1866</v>
      </c>
      <c r="H37" s="8">
        <v>1.62</v>
      </c>
      <c r="I37" s="12">
        <v>2</v>
      </c>
    </row>
    <row r="38" spans="2:9" ht="15" customHeight="1" x14ac:dyDescent="0.2">
      <c r="B38" t="s">
        <v>109</v>
      </c>
      <c r="C38" s="12">
        <v>4567</v>
      </c>
      <c r="D38" s="8">
        <v>2.09</v>
      </c>
      <c r="E38" s="12">
        <v>719</v>
      </c>
      <c r="F38" s="8">
        <v>0.7</v>
      </c>
      <c r="G38" s="12">
        <v>3846</v>
      </c>
      <c r="H38" s="8">
        <v>3.35</v>
      </c>
      <c r="I38" s="12">
        <v>2</v>
      </c>
    </row>
    <row r="39" spans="2:9" ht="15" customHeight="1" x14ac:dyDescent="0.2">
      <c r="B39" t="s">
        <v>104</v>
      </c>
      <c r="C39" s="12">
        <v>4192</v>
      </c>
      <c r="D39" s="8">
        <v>1.92</v>
      </c>
      <c r="E39" s="12">
        <v>715</v>
      </c>
      <c r="F39" s="8">
        <v>0.69</v>
      </c>
      <c r="G39" s="12">
        <v>3476</v>
      </c>
      <c r="H39" s="8">
        <v>3.03</v>
      </c>
      <c r="I39" s="12">
        <v>1</v>
      </c>
    </row>
    <row r="40" spans="2:9" ht="15" customHeight="1" x14ac:dyDescent="0.2">
      <c r="B40" t="s">
        <v>103</v>
      </c>
      <c r="C40" s="12">
        <v>4101</v>
      </c>
      <c r="D40" s="8">
        <v>1.87</v>
      </c>
      <c r="E40" s="12">
        <v>439</v>
      </c>
      <c r="F40" s="8">
        <v>0.43</v>
      </c>
      <c r="G40" s="12">
        <v>3662</v>
      </c>
      <c r="H40" s="8">
        <v>3.19</v>
      </c>
      <c r="I40" s="12">
        <v>0</v>
      </c>
    </row>
    <row r="41" spans="2:9" ht="15" customHeight="1" x14ac:dyDescent="0.2">
      <c r="B41" t="s">
        <v>112</v>
      </c>
      <c r="C41" s="12">
        <v>3972</v>
      </c>
      <c r="D41" s="8">
        <v>1.82</v>
      </c>
      <c r="E41" s="12">
        <v>1488</v>
      </c>
      <c r="F41" s="8">
        <v>1.44</v>
      </c>
      <c r="G41" s="12">
        <v>2467</v>
      </c>
      <c r="H41" s="8">
        <v>2.15</v>
      </c>
      <c r="I41" s="12">
        <v>6</v>
      </c>
    </row>
    <row r="42" spans="2:9" ht="15" customHeight="1" x14ac:dyDescent="0.2">
      <c r="B42" t="s">
        <v>102</v>
      </c>
      <c r="C42" s="12">
        <v>3564</v>
      </c>
      <c r="D42" s="8">
        <v>1.63</v>
      </c>
      <c r="E42" s="12">
        <v>620</v>
      </c>
      <c r="F42" s="8">
        <v>0.6</v>
      </c>
      <c r="G42" s="12">
        <v>2943</v>
      </c>
      <c r="H42" s="8">
        <v>2.56</v>
      </c>
      <c r="I42" s="12">
        <v>1</v>
      </c>
    </row>
    <row r="43" spans="2:9" ht="15" customHeight="1" x14ac:dyDescent="0.2">
      <c r="B43" t="s">
        <v>117</v>
      </c>
      <c r="C43" s="12">
        <v>3085</v>
      </c>
      <c r="D43" s="8">
        <v>1.41</v>
      </c>
      <c r="E43" s="12">
        <v>41</v>
      </c>
      <c r="F43" s="8">
        <v>0.04</v>
      </c>
      <c r="G43" s="12">
        <v>2806</v>
      </c>
      <c r="H43" s="8">
        <v>2.44</v>
      </c>
      <c r="I43" s="12">
        <v>67</v>
      </c>
    </row>
    <row r="46" spans="2:9" ht="33" customHeight="1" x14ac:dyDescent="0.2">
      <c r="B46" t="s">
        <v>273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160</v>
      </c>
      <c r="C47" s="12">
        <v>11634</v>
      </c>
      <c r="D47" s="8">
        <v>5.32</v>
      </c>
      <c r="E47" s="12">
        <v>4001</v>
      </c>
      <c r="F47" s="8">
        <v>3.88</v>
      </c>
      <c r="G47" s="12">
        <v>7630</v>
      </c>
      <c r="H47" s="8">
        <v>6.64</v>
      </c>
      <c r="I47" s="12">
        <v>2</v>
      </c>
    </row>
    <row r="48" spans="2:9" ht="15" customHeight="1" x14ac:dyDescent="0.2">
      <c r="B48" t="s">
        <v>169</v>
      </c>
      <c r="C48" s="12">
        <v>8017</v>
      </c>
      <c r="D48" s="8">
        <v>3.66</v>
      </c>
      <c r="E48" s="12">
        <v>7139</v>
      </c>
      <c r="F48" s="8">
        <v>6.92</v>
      </c>
      <c r="G48" s="12">
        <v>878</v>
      </c>
      <c r="H48" s="8">
        <v>0.76</v>
      </c>
      <c r="I48" s="12">
        <v>0</v>
      </c>
    </row>
    <row r="49" spans="2:9" ht="15" customHeight="1" x14ac:dyDescent="0.2">
      <c r="B49" t="s">
        <v>171</v>
      </c>
      <c r="C49" s="12">
        <v>6015</v>
      </c>
      <c r="D49" s="8">
        <v>2.75</v>
      </c>
      <c r="E49" s="12">
        <v>5152</v>
      </c>
      <c r="F49" s="8">
        <v>4.99</v>
      </c>
      <c r="G49" s="12">
        <v>861</v>
      </c>
      <c r="H49" s="8">
        <v>0.75</v>
      </c>
      <c r="I49" s="12">
        <v>2</v>
      </c>
    </row>
    <row r="50" spans="2:9" ht="15" customHeight="1" x14ac:dyDescent="0.2">
      <c r="B50" t="s">
        <v>165</v>
      </c>
      <c r="C50" s="12">
        <v>5678</v>
      </c>
      <c r="D50" s="8">
        <v>2.59</v>
      </c>
      <c r="E50" s="12">
        <v>5171</v>
      </c>
      <c r="F50" s="8">
        <v>5.01</v>
      </c>
      <c r="G50" s="12">
        <v>507</v>
      </c>
      <c r="H50" s="8">
        <v>0.44</v>
      </c>
      <c r="I50" s="12">
        <v>0</v>
      </c>
    </row>
    <row r="51" spans="2:9" ht="15" customHeight="1" x14ac:dyDescent="0.2">
      <c r="B51" t="s">
        <v>159</v>
      </c>
      <c r="C51" s="12">
        <v>5420</v>
      </c>
      <c r="D51" s="8">
        <v>2.48</v>
      </c>
      <c r="E51" s="12">
        <v>765</v>
      </c>
      <c r="F51" s="8">
        <v>0.74</v>
      </c>
      <c r="G51" s="12">
        <v>4649</v>
      </c>
      <c r="H51" s="8">
        <v>4.05</v>
      </c>
      <c r="I51" s="12">
        <v>5</v>
      </c>
    </row>
    <row r="52" spans="2:9" ht="15" customHeight="1" x14ac:dyDescent="0.2">
      <c r="B52" t="s">
        <v>167</v>
      </c>
      <c r="C52" s="12">
        <v>5393</v>
      </c>
      <c r="D52" s="8">
        <v>2.46</v>
      </c>
      <c r="E52" s="12">
        <v>5016</v>
      </c>
      <c r="F52" s="8">
        <v>4.8600000000000003</v>
      </c>
      <c r="G52" s="12">
        <v>372</v>
      </c>
      <c r="H52" s="8">
        <v>0.32</v>
      </c>
      <c r="I52" s="12">
        <v>5</v>
      </c>
    </row>
    <row r="53" spans="2:9" ht="15" customHeight="1" x14ac:dyDescent="0.2">
      <c r="B53" t="s">
        <v>164</v>
      </c>
      <c r="C53" s="12">
        <v>5240</v>
      </c>
      <c r="D53" s="8">
        <v>2.39</v>
      </c>
      <c r="E53" s="12">
        <v>4247</v>
      </c>
      <c r="F53" s="8">
        <v>4.12</v>
      </c>
      <c r="G53" s="12">
        <v>993</v>
      </c>
      <c r="H53" s="8">
        <v>0.86</v>
      </c>
      <c r="I53" s="12">
        <v>0</v>
      </c>
    </row>
    <row r="54" spans="2:9" ht="15" customHeight="1" x14ac:dyDescent="0.2">
      <c r="B54" t="s">
        <v>168</v>
      </c>
      <c r="C54" s="12">
        <v>4266</v>
      </c>
      <c r="D54" s="8">
        <v>1.95</v>
      </c>
      <c r="E54" s="12">
        <v>4086</v>
      </c>
      <c r="F54" s="8">
        <v>3.96</v>
      </c>
      <c r="G54" s="12">
        <v>180</v>
      </c>
      <c r="H54" s="8">
        <v>0.16</v>
      </c>
      <c r="I54" s="12">
        <v>0</v>
      </c>
    </row>
    <row r="55" spans="2:9" ht="15" customHeight="1" x14ac:dyDescent="0.2">
      <c r="B55" t="s">
        <v>157</v>
      </c>
      <c r="C55" s="12">
        <v>4205</v>
      </c>
      <c r="D55" s="8">
        <v>1.92</v>
      </c>
      <c r="E55" s="12">
        <v>3004</v>
      </c>
      <c r="F55" s="8">
        <v>2.91</v>
      </c>
      <c r="G55" s="12">
        <v>1197</v>
      </c>
      <c r="H55" s="8">
        <v>1.04</v>
      </c>
      <c r="I55" s="12">
        <v>4</v>
      </c>
    </row>
    <row r="56" spans="2:9" ht="15" customHeight="1" x14ac:dyDescent="0.2">
      <c r="B56" t="s">
        <v>170</v>
      </c>
      <c r="C56" s="12">
        <v>4146</v>
      </c>
      <c r="D56" s="8">
        <v>1.89</v>
      </c>
      <c r="E56" s="12">
        <v>3213</v>
      </c>
      <c r="F56" s="8">
        <v>3.11</v>
      </c>
      <c r="G56" s="12">
        <v>918</v>
      </c>
      <c r="H56" s="8">
        <v>0.8</v>
      </c>
      <c r="I56" s="12">
        <v>15</v>
      </c>
    </row>
    <row r="57" spans="2:9" ht="15" customHeight="1" x14ac:dyDescent="0.2">
      <c r="B57" t="s">
        <v>161</v>
      </c>
      <c r="C57" s="12">
        <v>3662</v>
      </c>
      <c r="D57" s="8">
        <v>1.67</v>
      </c>
      <c r="E57" s="12">
        <v>2547</v>
      </c>
      <c r="F57" s="8">
        <v>2.4700000000000002</v>
      </c>
      <c r="G57" s="12">
        <v>1113</v>
      </c>
      <c r="H57" s="8">
        <v>0.97</v>
      </c>
      <c r="I57" s="12">
        <v>2</v>
      </c>
    </row>
    <row r="58" spans="2:9" ht="15" customHeight="1" x14ac:dyDescent="0.2">
      <c r="B58" t="s">
        <v>166</v>
      </c>
      <c r="C58" s="12">
        <v>3587</v>
      </c>
      <c r="D58" s="8">
        <v>1.64</v>
      </c>
      <c r="E58" s="12">
        <v>3365</v>
      </c>
      <c r="F58" s="8">
        <v>3.26</v>
      </c>
      <c r="G58" s="12">
        <v>220</v>
      </c>
      <c r="H58" s="8">
        <v>0.19</v>
      </c>
      <c r="I58" s="12">
        <v>2</v>
      </c>
    </row>
    <row r="59" spans="2:9" ht="15" customHeight="1" x14ac:dyDescent="0.2">
      <c r="B59" t="s">
        <v>162</v>
      </c>
      <c r="C59" s="12">
        <v>3382</v>
      </c>
      <c r="D59" s="8">
        <v>1.55</v>
      </c>
      <c r="E59" s="12">
        <v>210</v>
      </c>
      <c r="F59" s="8">
        <v>0.2</v>
      </c>
      <c r="G59" s="12">
        <v>3145</v>
      </c>
      <c r="H59" s="8">
        <v>2.74</v>
      </c>
      <c r="I59" s="12">
        <v>23</v>
      </c>
    </row>
    <row r="60" spans="2:9" ht="15" customHeight="1" x14ac:dyDescent="0.2">
      <c r="B60" t="s">
        <v>158</v>
      </c>
      <c r="C60" s="12">
        <v>3331</v>
      </c>
      <c r="D60" s="8">
        <v>1.52</v>
      </c>
      <c r="E60" s="12">
        <v>623</v>
      </c>
      <c r="F60" s="8">
        <v>0.6</v>
      </c>
      <c r="G60" s="12">
        <v>2707</v>
      </c>
      <c r="H60" s="8">
        <v>2.36</v>
      </c>
      <c r="I60" s="12">
        <v>1</v>
      </c>
    </row>
    <row r="61" spans="2:9" ht="15" customHeight="1" x14ac:dyDescent="0.2">
      <c r="B61" t="s">
        <v>156</v>
      </c>
      <c r="C61" s="12">
        <v>2778</v>
      </c>
      <c r="D61" s="8">
        <v>1.27</v>
      </c>
      <c r="E61" s="12">
        <v>1953</v>
      </c>
      <c r="F61" s="8">
        <v>1.89</v>
      </c>
      <c r="G61" s="12">
        <v>821</v>
      </c>
      <c r="H61" s="8">
        <v>0.71</v>
      </c>
      <c r="I61" s="12">
        <v>4</v>
      </c>
    </row>
    <row r="62" spans="2:9" ht="15" customHeight="1" x14ac:dyDescent="0.2">
      <c r="B62" t="s">
        <v>153</v>
      </c>
      <c r="C62" s="12">
        <v>2730</v>
      </c>
      <c r="D62" s="8">
        <v>1.25</v>
      </c>
      <c r="E62" s="12">
        <v>603</v>
      </c>
      <c r="F62" s="8">
        <v>0.57999999999999996</v>
      </c>
      <c r="G62" s="12">
        <v>2126</v>
      </c>
      <c r="H62" s="8">
        <v>1.85</v>
      </c>
      <c r="I62" s="12">
        <v>1</v>
      </c>
    </row>
    <row r="63" spans="2:9" ht="15" customHeight="1" x14ac:dyDescent="0.2">
      <c r="B63" t="s">
        <v>152</v>
      </c>
      <c r="C63" s="12">
        <v>2702</v>
      </c>
      <c r="D63" s="8">
        <v>1.23</v>
      </c>
      <c r="E63" s="12">
        <v>394</v>
      </c>
      <c r="F63" s="8">
        <v>0.38</v>
      </c>
      <c r="G63" s="12">
        <v>2307</v>
      </c>
      <c r="H63" s="8">
        <v>2.0099999999999998</v>
      </c>
      <c r="I63" s="12">
        <v>1</v>
      </c>
    </row>
    <row r="64" spans="2:9" ht="15" customHeight="1" x14ac:dyDescent="0.2">
      <c r="B64" t="s">
        <v>163</v>
      </c>
      <c r="C64" s="12">
        <v>2671</v>
      </c>
      <c r="D64" s="8">
        <v>1.22</v>
      </c>
      <c r="E64" s="12">
        <v>2528</v>
      </c>
      <c r="F64" s="8">
        <v>2.4500000000000002</v>
      </c>
      <c r="G64" s="12">
        <v>143</v>
      </c>
      <c r="H64" s="8">
        <v>0.12</v>
      </c>
      <c r="I64" s="12">
        <v>0</v>
      </c>
    </row>
    <row r="65" spans="2:9" ht="15" customHeight="1" x14ac:dyDescent="0.2">
      <c r="B65" t="s">
        <v>155</v>
      </c>
      <c r="C65" s="12">
        <v>2527</v>
      </c>
      <c r="D65" s="8">
        <v>1.1499999999999999</v>
      </c>
      <c r="E65" s="12">
        <v>1346</v>
      </c>
      <c r="F65" s="8">
        <v>1.3</v>
      </c>
      <c r="G65" s="12">
        <v>1180</v>
      </c>
      <c r="H65" s="8">
        <v>1.03</v>
      </c>
      <c r="I65" s="12">
        <v>1</v>
      </c>
    </row>
    <row r="66" spans="2:9" ht="15" customHeight="1" x14ac:dyDescent="0.2">
      <c r="B66" t="s">
        <v>154</v>
      </c>
      <c r="C66" s="12">
        <v>2510</v>
      </c>
      <c r="D66" s="8">
        <v>1.1499999999999999</v>
      </c>
      <c r="E66" s="12">
        <v>421</v>
      </c>
      <c r="F66" s="8">
        <v>0.41</v>
      </c>
      <c r="G66" s="12">
        <v>2089</v>
      </c>
      <c r="H66" s="8">
        <v>1.82</v>
      </c>
      <c r="I66" s="12">
        <v>0</v>
      </c>
    </row>
    <row r="68" spans="2:9" ht="15" customHeight="1" x14ac:dyDescent="0.2">
      <c r="B68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9B1A8-1ADE-4AF9-ABE9-DB1FBB71E188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319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257</v>
      </c>
      <c r="D6" s="8">
        <v>9.93</v>
      </c>
      <c r="E6" s="12">
        <v>75</v>
      </c>
      <c r="F6" s="8">
        <v>5.68</v>
      </c>
      <c r="G6" s="12">
        <v>182</v>
      </c>
      <c r="H6" s="8">
        <v>14.48</v>
      </c>
      <c r="I6" s="12">
        <v>0</v>
      </c>
    </row>
    <row r="7" spans="2:9" ht="15" customHeight="1" x14ac:dyDescent="0.2">
      <c r="B7" t="s">
        <v>77</v>
      </c>
      <c r="C7" s="12">
        <v>358</v>
      </c>
      <c r="D7" s="8">
        <v>13.83</v>
      </c>
      <c r="E7" s="12">
        <v>170</v>
      </c>
      <c r="F7" s="8">
        <v>12.87</v>
      </c>
      <c r="G7" s="12">
        <v>188</v>
      </c>
      <c r="H7" s="8">
        <v>14.96</v>
      </c>
      <c r="I7" s="12">
        <v>0</v>
      </c>
    </row>
    <row r="8" spans="2:9" ht="15" customHeight="1" x14ac:dyDescent="0.2">
      <c r="B8" t="s">
        <v>78</v>
      </c>
      <c r="C8" s="12">
        <v>2</v>
      </c>
      <c r="D8" s="8">
        <v>0.08</v>
      </c>
      <c r="E8" s="12">
        <v>0</v>
      </c>
      <c r="F8" s="8">
        <v>0</v>
      </c>
      <c r="G8" s="12">
        <v>2</v>
      </c>
      <c r="H8" s="8">
        <v>0.16</v>
      </c>
      <c r="I8" s="12">
        <v>0</v>
      </c>
    </row>
    <row r="9" spans="2:9" ht="15" customHeight="1" x14ac:dyDescent="0.2">
      <c r="B9" t="s">
        <v>79</v>
      </c>
      <c r="C9" s="12">
        <v>24</v>
      </c>
      <c r="D9" s="8">
        <v>0.93</v>
      </c>
      <c r="E9" s="12">
        <v>0</v>
      </c>
      <c r="F9" s="8">
        <v>0</v>
      </c>
      <c r="G9" s="12">
        <v>24</v>
      </c>
      <c r="H9" s="8">
        <v>1.91</v>
      </c>
      <c r="I9" s="12">
        <v>0</v>
      </c>
    </row>
    <row r="10" spans="2:9" ht="15" customHeight="1" x14ac:dyDescent="0.2">
      <c r="B10" t="s">
        <v>80</v>
      </c>
      <c r="C10" s="12">
        <v>78</v>
      </c>
      <c r="D10" s="8">
        <v>3.01</v>
      </c>
      <c r="E10" s="12">
        <v>2</v>
      </c>
      <c r="F10" s="8">
        <v>0.15</v>
      </c>
      <c r="G10" s="12">
        <v>75</v>
      </c>
      <c r="H10" s="8">
        <v>5.97</v>
      </c>
      <c r="I10" s="12">
        <v>1</v>
      </c>
    </row>
    <row r="11" spans="2:9" ht="15" customHeight="1" x14ac:dyDescent="0.2">
      <c r="B11" t="s">
        <v>81</v>
      </c>
      <c r="C11" s="12">
        <v>631</v>
      </c>
      <c r="D11" s="8">
        <v>24.38</v>
      </c>
      <c r="E11" s="12">
        <v>314</v>
      </c>
      <c r="F11" s="8">
        <v>23.77</v>
      </c>
      <c r="G11" s="12">
        <v>317</v>
      </c>
      <c r="H11" s="8">
        <v>25.22</v>
      </c>
      <c r="I11" s="12">
        <v>0</v>
      </c>
    </row>
    <row r="12" spans="2:9" ht="15" customHeight="1" x14ac:dyDescent="0.2">
      <c r="B12" t="s">
        <v>82</v>
      </c>
      <c r="C12" s="12">
        <v>14</v>
      </c>
      <c r="D12" s="8">
        <v>0.54</v>
      </c>
      <c r="E12" s="12">
        <v>5</v>
      </c>
      <c r="F12" s="8">
        <v>0.38</v>
      </c>
      <c r="G12" s="12">
        <v>9</v>
      </c>
      <c r="H12" s="8">
        <v>0.72</v>
      </c>
      <c r="I12" s="12">
        <v>0</v>
      </c>
    </row>
    <row r="13" spans="2:9" ht="15" customHeight="1" x14ac:dyDescent="0.2">
      <c r="B13" t="s">
        <v>83</v>
      </c>
      <c r="C13" s="12">
        <v>219</v>
      </c>
      <c r="D13" s="8">
        <v>8.4600000000000009</v>
      </c>
      <c r="E13" s="12">
        <v>50</v>
      </c>
      <c r="F13" s="8">
        <v>3.79</v>
      </c>
      <c r="G13" s="12">
        <v>168</v>
      </c>
      <c r="H13" s="8">
        <v>13.37</v>
      </c>
      <c r="I13" s="12">
        <v>1</v>
      </c>
    </row>
    <row r="14" spans="2:9" ht="15" customHeight="1" x14ac:dyDescent="0.2">
      <c r="B14" t="s">
        <v>84</v>
      </c>
      <c r="C14" s="12">
        <v>98</v>
      </c>
      <c r="D14" s="8">
        <v>3.79</v>
      </c>
      <c r="E14" s="12">
        <v>63</v>
      </c>
      <c r="F14" s="8">
        <v>4.7699999999999996</v>
      </c>
      <c r="G14" s="12">
        <v>35</v>
      </c>
      <c r="H14" s="8">
        <v>2.78</v>
      </c>
      <c r="I14" s="12">
        <v>0</v>
      </c>
    </row>
    <row r="15" spans="2:9" ht="15" customHeight="1" x14ac:dyDescent="0.2">
      <c r="B15" t="s">
        <v>85</v>
      </c>
      <c r="C15" s="12">
        <v>289</v>
      </c>
      <c r="D15" s="8">
        <v>11.17</v>
      </c>
      <c r="E15" s="12">
        <v>247</v>
      </c>
      <c r="F15" s="8">
        <v>18.7</v>
      </c>
      <c r="G15" s="12">
        <v>41</v>
      </c>
      <c r="H15" s="8">
        <v>3.26</v>
      </c>
      <c r="I15" s="12">
        <v>0</v>
      </c>
    </row>
    <row r="16" spans="2:9" ht="15" customHeight="1" x14ac:dyDescent="0.2">
      <c r="B16" t="s">
        <v>86</v>
      </c>
      <c r="C16" s="12">
        <v>292</v>
      </c>
      <c r="D16" s="8">
        <v>11.28</v>
      </c>
      <c r="E16" s="12">
        <v>219</v>
      </c>
      <c r="F16" s="8">
        <v>16.579999999999998</v>
      </c>
      <c r="G16" s="12">
        <v>73</v>
      </c>
      <c r="H16" s="8">
        <v>5.81</v>
      </c>
      <c r="I16" s="12">
        <v>0</v>
      </c>
    </row>
    <row r="17" spans="2:9" ht="15" customHeight="1" x14ac:dyDescent="0.2">
      <c r="B17" t="s">
        <v>87</v>
      </c>
      <c r="C17" s="12">
        <v>80</v>
      </c>
      <c r="D17" s="8">
        <v>3.09</v>
      </c>
      <c r="E17" s="12">
        <v>52</v>
      </c>
      <c r="F17" s="8">
        <v>3.94</v>
      </c>
      <c r="G17" s="12">
        <v>27</v>
      </c>
      <c r="H17" s="8">
        <v>2.15</v>
      </c>
      <c r="I17" s="12">
        <v>0</v>
      </c>
    </row>
    <row r="18" spans="2:9" ht="15" customHeight="1" x14ac:dyDescent="0.2">
      <c r="B18" t="s">
        <v>88</v>
      </c>
      <c r="C18" s="12">
        <v>137</v>
      </c>
      <c r="D18" s="8">
        <v>5.29</v>
      </c>
      <c r="E18" s="12">
        <v>79</v>
      </c>
      <c r="F18" s="8">
        <v>5.98</v>
      </c>
      <c r="G18" s="12">
        <v>55</v>
      </c>
      <c r="H18" s="8">
        <v>4.38</v>
      </c>
      <c r="I18" s="12">
        <v>0</v>
      </c>
    </row>
    <row r="19" spans="2:9" ht="15" customHeight="1" x14ac:dyDescent="0.2">
      <c r="B19" t="s">
        <v>89</v>
      </c>
      <c r="C19" s="12">
        <v>109</v>
      </c>
      <c r="D19" s="8">
        <v>4.21</v>
      </c>
      <c r="E19" s="12">
        <v>45</v>
      </c>
      <c r="F19" s="8">
        <v>3.41</v>
      </c>
      <c r="G19" s="12">
        <v>61</v>
      </c>
      <c r="H19" s="8">
        <v>4.8499999999999996</v>
      </c>
      <c r="I19" s="12">
        <v>1</v>
      </c>
    </row>
    <row r="20" spans="2:9" ht="15" customHeight="1" x14ac:dyDescent="0.2">
      <c r="B20" s="9" t="s">
        <v>271</v>
      </c>
      <c r="C20" s="12">
        <f>SUM(LTBL_27213[総数／事業所数])</f>
        <v>2588</v>
      </c>
      <c r="E20" s="12">
        <f>SUBTOTAL(109,LTBL_27213[個人／事業所数])</f>
        <v>1321</v>
      </c>
      <c r="G20" s="12">
        <f>SUBTOTAL(109,LTBL_27213[法人／事業所数])</f>
        <v>1257</v>
      </c>
      <c r="I20" s="12">
        <f>SUBTOTAL(109,LTBL_27213[法人以外の団体／事業所数])</f>
        <v>3</v>
      </c>
    </row>
    <row r="21" spans="2:9" ht="15" customHeight="1" x14ac:dyDescent="0.2">
      <c r="E21" s="11">
        <f>LTBL_27213[[#Totals],[個人／事業所数]]/LTBL_27213[[#Totals],[総数／事業所数]]</f>
        <v>0.5104327666151468</v>
      </c>
      <c r="G21" s="11">
        <f>LTBL_27213[[#Totals],[法人／事業所数]]/LTBL_27213[[#Totals],[総数／事業所数]]</f>
        <v>0.4857032457496136</v>
      </c>
      <c r="I21" s="11">
        <f>LTBL_27213[[#Totals],[法人以外の団体／事業所数]]/LTBL_27213[[#Totals],[総数／事業所数]]</f>
        <v>1.1591962905718701E-3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113</v>
      </c>
      <c r="C24" s="12">
        <v>265</v>
      </c>
      <c r="D24" s="8">
        <v>10.24</v>
      </c>
      <c r="E24" s="12">
        <v>235</v>
      </c>
      <c r="F24" s="8">
        <v>17.79</v>
      </c>
      <c r="G24" s="12">
        <v>30</v>
      </c>
      <c r="H24" s="8">
        <v>2.39</v>
      </c>
      <c r="I24" s="12">
        <v>0</v>
      </c>
    </row>
    <row r="25" spans="2:9" ht="15" customHeight="1" x14ac:dyDescent="0.2">
      <c r="B25" t="s">
        <v>114</v>
      </c>
      <c r="C25" s="12">
        <v>211</v>
      </c>
      <c r="D25" s="8">
        <v>8.15</v>
      </c>
      <c r="E25" s="12">
        <v>178</v>
      </c>
      <c r="F25" s="8">
        <v>13.47</v>
      </c>
      <c r="G25" s="12">
        <v>33</v>
      </c>
      <c r="H25" s="8">
        <v>2.63</v>
      </c>
      <c r="I25" s="12">
        <v>0</v>
      </c>
    </row>
    <row r="26" spans="2:9" ht="15" customHeight="1" x14ac:dyDescent="0.2">
      <c r="B26" t="s">
        <v>110</v>
      </c>
      <c r="C26" s="12">
        <v>168</v>
      </c>
      <c r="D26" s="8">
        <v>6.49</v>
      </c>
      <c r="E26" s="12">
        <v>41</v>
      </c>
      <c r="F26" s="8">
        <v>3.1</v>
      </c>
      <c r="G26" s="12">
        <v>126</v>
      </c>
      <c r="H26" s="8">
        <v>10.02</v>
      </c>
      <c r="I26" s="12">
        <v>1</v>
      </c>
    </row>
    <row r="27" spans="2:9" ht="15" customHeight="1" x14ac:dyDescent="0.2">
      <c r="B27" t="s">
        <v>120</v>
      </c>
      <c r="C27" s="12">
        <v>166</v>
      </c>
      <c r="D27" s="8">
        <v>6.41</v>
      </c>
      <c r="E27" s="12">
        <v>95</v>
      </c>
      <c r="F27" s="8">
        <v>7.19</v>
      </c>
      <c r="G27" s="12">
        <v>71</v>
      </c>
      <c r="H27" s="8">
        <v>5.65</v>
      </c>
      <c r="I27" s="12">
        <v>0</v>
      </c>
    </row>
    <row r="28" spans="2:9" ht="15" customHeight="1" x14ac:dyDescent="0.2">
      <c r="B28" t="s">
        <v>108</v>
      </c>
      <c r="C28" s="12">
        <v>164</v>
      </c>
      <c r="D28" s="8">
        <v>6.34</v>
      </c>
      <c r="E28" s="12">
        <v>93</v>
      </c>
      <c r="F28" s="8">
        <v>7.04</v>
      </c>
      <c r="G28" s="12">
        <v>71</v>
      </c>
      <c r="H28" s="8">
        <v>5.65</v>
      </c>
      <c r="I28" s="12">
        <v>0</v>
      </c>
    </row>
    <row r="29" spans="2:9" ht="15" customHeight="1" x14ac:dyDescent="0.2">
      <c r="B29" t="s">
        <v>98</v>
      </c>
      <c r="C29" s="12">
        <v>117</v>
      </c>
      <c r="D29" s="8">
        <v>4.5199999999999996</v>
      </c>
      <c r="E29" s="12">
        <v>16</v>
      </c>
      <c r="F29" s="8">
        <v>1.21</v>
      </c>
      <c r="G29" s="12">
        <v>101</v>
      </c>
      <c r="H29" s="8">
        <v>8.0399999999999991</v>
      </c>
      <c r="I29" s="12">
        <v>0</v>
      </c>
    </row>
    <row r="30" spans="2:9" ht="15" customHeight="1" x14ac:dyDescent="0.2">
      <c r="B30" t="s">
        <v>106</v>
      </c>
      <c r="C30" s="12">
        <v>111</v>
      </c>
      <c r="D30" s="8">
        <v>4.29</v>
      </c>
      <c r="E30" s="12">
        <v>88</v>
      </c>
      <c r="F30" s="8">
        <v>6.66</v>
      </c>
      <c r="G30" s="12">
        <v>23</v>
      </c>
      <c r="H30" s="8">
        <v>1.83</v>
      </c>
      <c r="I30" s="12">
        <v>0</v>
      </c>
    </row>
    <row r="31" spans="2:9" ht="15" customHeight="1" x14ac:dyDescent="0.2">
      <c r="B31" t="s">
        <v>105</v>
      </c>
      <c r="C31" s="12">
        <v>106</v>
      </c>
      <c r="D31" s="8">
        <v>4.0999999999999996</v>
      </c>
      <c r="E31" s="12">
        <v>32</v>
      </c>
      <c r="F31" s="8">
        <v>2.42</v>
      </c>
      <c r="G31" s="12">
        <v>74</v>
      </c>
      <c r="H31" s="8">
        <v>5.89</v>
      </c>
      <c r="I31" s="12">
        <v>0</v>
      </c>
    </row>
    <row r="32" spans="2:9" ht="15" customHeight="1" x14ac:dyDescent="0.2">
      <c r="B32" t="s">
        <v>116</v>
      </c>
      <c r="C32" s="12">
        <v>87</v>
      </c>
      <c r="D32" s="8">
        <v>3.36</v>
      </c>
      <c r="E32" s="12">
        <v>79</v>
      </c>
      <c r="F32" s="8">
        <v>5.98</v>
      </c>
      <c r="G32" s="12">
        <v>8</v>
      </c>
      <c r="H32" s="8">
        <v>0.64</v>
      </c>
      <c r="I32" s="12">
        <v>0</v>
      </c>
    </row>
    <row r="33" spans="2:9" ht="15" customHeight="1" x14ac:dyDescent="0.2">
      <c r="B33" t="s">
        <v>115</v>
      </c>
      <c r="C33" s="12">
        <v>80</v>
      </c>
      <c r="D33" s="8">
        <v>3.09</v>
      </c>
      <c r="E33" s="12">
        <v>52</v>
      </c>
      <c r="F33" s="8">
        <v>3.94</v>
      </c>
      <c r="G33" s="12">
        <v>27</v>
      </c>
      <c r="H33" s="8">
        <v>2.15</v>
      </c>
      <c r="I33" s="12">
        <v>0</v>
      </c>
    </row>
    <row r="34" spans="2:9" ht="15" customHeight="1" x14ac:dyDescent="0.2">
      <c r="B34" t="s">
        <v>100</v>
      </c>
      <c r="C34" s="12">
        <v>78</v>
      </c>
      <c r="D34" s="8">
        <v>3.01</v>
      </c>
      <c r="E34" s="12">
        <v>31</v>
      </c>
      <c r="F34" s="8">
        <v>2.35</v>
      </c>
      <c r="G34" s="12">
        <v>47</v>
      </c>
      <c r="H34" s="8">
        <v>3.74</v>
      </c>
      <c r="I34" s="12">
        <v>0</v>
      </c>
    </row>
    <row r="35" spans="2:9" ht="15" customHeight="1" x14ac:dyDescent="0.2">
      <c r="B35" t="s">
        <v>107</v>
      </c>
      <c r="C35" s="12">
        <v>78</v>
      </c>
      <c r="D35" s="8">
        <v>3.01</v>
      </c>
      <c r="E35" s="12">
        <v>61</v>
      </c>
      <c r="F35" s="8">
        <v>4.62</v>
      </c>
      <c r="G35" s="12">
        <v>17</v>
      </c>
      <c r="H35" s="8">
        <v>1.35</v>
      </c>
      <c r="I35" s="12">
        <v>0</v>
      </c>
    </row>
    <row r="36" spans="2:9" ht="15" customHeight="1" x14ac:dyDescent="0.2">
      <c r="B36" t="s">
        <v>111</v>
      </c>
      <c r="C36" s="12">
        <v>65</v>
      </c>
      <c r="D36" s="8">
        <v>2.5099999999999998</v>
      </c>
      <c r="E36" s="12">
        <v>50</v>
      </c>
      <c r="F36" s="8">
        <v>3.79</v>
      </c>
      <c r="G36" s="12">
        <v>15</v>
      </c>
      <c r="H36" s="8">
        <v>1.19</v>
      </c>
      <c r="I36" s="12">
        <v>0</v>
      </c>
    </row>
    <row r="37" spans="2:9" ht="15" customHeight="1" x14ac:dyDescent="0.2">
      <c r="B37" t="s">
        <v>99</v>
      </c>
      <c r="C37" s="12">
        <v>62</v>
      </c>
      <c r="D37" s="8">
        <v>2.4</v>
      </c>
      <c r="E37" s="12">
        <v>28</v>
      </c>
      <c r="F37" s="8">
        <v>2.12</v>
      </c>
      <c r="G37" s="12">
        <v>34</v>
      </c>
      <c r="H37" s="8">
        <v>2.7</v>
      </c>
      <c r="I37" s="12">
        <v>0</v>
      </c>
    </row>
    <row r="38" spans="2:9" ht="15" customHeight="1" x14ac:dyDescent="0.2">
      <c r="B38" t="s">
        <v>130</v>
      </c>
      <c r="C38" s="12">
        <v>51</v>
      </c>
      <c r="D38" s="8">
        <v>1.97</v>
      </c>
      <c r="E38" s="12">
        <v>20</v>
      </c>
      <c r="F38" s="8">
        <v>1.51</v>
      </c>
      <c r="G38" s="12">
        <v>31</v>
      </c>
      <c r="H38" s="8">
        <v>2.4700000000000002</v>
      </c>
      <c r="I38" s="12">
        <v>0</v>
      </c>
    </row>
    <row r="39" spans="2:9" ht="15" customHeight="1" x14ac:dyDescent="0.2">
      <c r="B39" t="s">
        <v>117</v>
      </c>
      <c r="C39" s="12">
        <v>50</v>
      </c>
      <c r="D39" s="8">
        <v>1.93</v>
      </c>
      <c r="E39" s="12">
        <v>0</v>
      </c>
      <c r="F39" s="8">
        <v>0</v>
      </c>
      <c r="G39" s="12">
        <v>47</v>
      </c>
      <c r="H39" s="8">
        <v>3.74</v>
      </c>
      <c r="I39" s="12">
        <v>0</v>
      </c>
    </row>
    <row r="40" spans="2:9" ht="15" customHeight="1" x14ac:dyDescent="0.2">
      <c r="B40" t="s">
        <v>102</v>
      </c>
      <c r="C40" s="12">
        <v>41</v>
      </c>
      <c r="D40" s="8">
        <v>1.58</v>
      </c>
      <c r="E40" s="12">
        <v>17</v>
      </c>
      <c r="F40" s="8">
        <v>1.29</v>
      </c>
      <c r="G40" s="12">
        <v>24</v>
      </c>
      <c r="H40" s="8">
        <v>1.91</v>
      </c>
      <c r="I40" s="12">
        <v>0</v>
      </c>
    </row>
    <row r="41" spans="2:9" ht="15" customHeight="1" x14ac:dyDescent="0.2">
      <c r="B41" t="s">
        <v>101</v>
      </c>
      <c r="C41" s="12">
        <v>40</v>
      </c>
      <c r="D41" s="8">
        <v>1.55</v>
      </c>
      <c r="E41" s="12">
        <v>15</v>
      </c>
      <c r="F41" s="8">
        <v>1.1399999999999999</v>
      </c>
      <c r="G41" s="12">
        <v>25</v>
      </c>
      <c r="H41" s="8">
        <v>1.99</v>
      </c>
      <c r="I41" s="12">
        <v>0</v>
      </c>
    </row>
    <row r="42" spans="2:9" ht="15" customHeight="1" x14ac:dyDescent="0.2">
      <c r="B42" t="s">
        <v>109</v>
      </c>
      <c r="C42" s="12">
        <v>40</v>
      </c>
      <c r="D42" s="8">
        <v>1.55</v>
      </c>
      <c r="E42" s="12">
        <v>8</v>
      </c>
      <c r="F42" s="8">
        <v>0.61</v>
      </c>
      <c r="G42" s="12">
        <v>32</v>
      </c>
      <c r="H42" s="8">
        <v>2.5499999999999998</v>
      </c>
      <c r="I42" s="12">
        <v>0</v>
      </c>
    </row>
    <row r="43" spans="2:9" ht="15" customHeight="1" x14ac:dyDescent="0.2">
      <c r="B43" t="s">
        <v>104</v>
      </c>
      <c r="C43" s="12">
        <v>36</v>
      </c>
      <c r="D43" s="8">
        <v>1.39</v>
      </c>
      <c r="E43" s="12">
        <v>6</v>
      </c>
      <c r="F43" s="8">
        <v>0.45</v>
      </c>
      <c r="G43" s="12">
        <v>30</v>
      </c>
      <c r="H43" s="8">
        <v>2.39</v>
      </c>
      <c r="I43" s="12">
        <v>0</v>
      </c>
    </row>
    <row r="44" spans="2:9" ht="15" customHeight="1" x14ac:dyDescent="0.2">
      <c r="B44" t="s">
        <v>129</v>
      </c>
      <c r="C44" s="12">
        <v>36</v>
      </c>
      <c r="D44" s="8">
        <v>1.39</v>
      </c>
      <c r="E44" s="12">
        <v>33</v>
      </c>
      <c r="F44" s="8">
        <v>2.5</v>
      </c>
      <c r="G44" s="12">
        <v>3</v>
      </c>
      <c r="H44" s="8">
        <v>0.24</v>
      </c>
      <c r="I44" s="12">
        <v>0</v>
      </c>
    </row>
    <row r="47" spans="2:9" ht="33" customHeight="1" x14ac:dyDescent="0.2">
      <c r="B47" t="s">
        <v>273</v>
      </c>
      <c r="C47" s="10" t="s">
        <v>91</v>
      </c>
      <c r="D47" s="10" t="s">
        <v>92</v>
      </c>
      <c r="E47" s="10" t="s">
        <v>93</v>
      </c>
      <c r="F47" s="10" t="s">
        <v>94</v>
      </c>
      <c r="G47" s="10" t="s">
        <v>95</v>
      </c>
      <c r="H47" s="10" t="s">
        <v>96</v>
      </c>
      <c r="I47" s="10" t="s">
        <v>97</v>
      </c>
    </row>
    <row r="48" spans="2:9" ht="15" customHeight="1" x14ac:dyDescent="0.2">
      <c r="B48" t="s">
        <v>229</v>
      </c>
      <c r="C48" s="12">
        <v>116</v>
      </c>
      <c r="D48" s="8">
        <v>4.4800000000000004</v>
      </c>
      <c r="E48" s="12">
        <v>62</v>
      </c>
      <c r="F48" s="8">
        <v>4.6900000000000004</v>
      </c>
      <c r="G48" s="12">
        <v>54</v>
      </c>
      <c r="H48" s="8">
        <v>4.3</v>
      </c>
      <c r="I48" s="12">
        <v>0</v>
      </c>
    </row>
    <row r="49" spans="2:9" ht="15" customHeight="1" x14ac:dyDescent="0.2">
      <c r="B49" t="s">
        <v>169</v>
      </c>
      <c r="C49" s="12">
        <v>111</v>
      </c>
      <c r="D49" s="8">
        <v>4.29</v>
      </c>
      <c r="E49" s="12">
        <v>95</v>
      </c>
      <c r="F49" s="8">
        <v>7.19</v>
      </c>
      <c r="G49" s="12">
        <v>16</v>
      </c>
      <c r="H49" s="8">
        <v>1.27</v>
      </c>
      <c r="I49" s="12">
        <v>0</v>
      </c>
    </row>
    <row r="50" spans="2:9" ht="15" customHeight="1" x14ac:dyDescent="0.2">
      <c r="B50" t="s">
        <v>160</v>
      </c>
      <c r="C50" s="12">
        <v>69</v>
      </c>
      <c r="D50" s="8">
        <v>2.67</v>
      </c>
      <c r="E50" s="12">
        <v>16</v>
      </c>
      <c r="F50" s="8">
        <v>1.21</v>
      </c>
      <c r="G50" s="12">
        <v>53</v>
      </c>
      <c r="H50" s="8">
        <v>4.22</v>
      </c>
      <c r="I50" s="12">
        <v>0</v>
      </c>
    </row>
    <row r="51" spans="2:9" ht="15" customHeight="1" x14ac:dyDescent="0.2">
      <c r="B51" t="s">
        <v>171</v>
      </c>
      <c r="C51" s="12">
        <v>69</v>
      </c>
      <c r="D51" s="8">
        <v>2.67</v>
      </c>
      <c r="E51" s="12">
        <v>63</v>
      </c>
      <c r="F51" s="8">
        <v>4.7699999999999996</v>
      </c>
      <c r="G51" s="12">
        <v>6</v>
      </c>
      <c r="H51" s="8">
        <v>0.48</v>
      </c>
      <c r="I51" s="12">
        <v>0</v>
      </c>
    </row>
    <row r="52" spans="2:9" ht="15" customHeight="1" x14ac:dyDescent="0.2">
      <c r="B52" t="s">
        <v>168</v>
      </c>
      <c r="C52" s="12">
        <v>57</v>
      </c>
      <c r="D52" s="8">
        <v>2.2000000000000002</v>
      </c>
      <c r="E52" s="12">
        <v>54</v>
      </c>
      <c r="F52" s="8">
        <v>4.09</v>
      </c>
      <c r="G52" s="12">
        <v>3</v>
      </c>
      <c r="H52" s="8">
        <v>0.24</v>
      </c>
      <c r="I52" s="12">
        <v>0</v>
      </c>
    </row>
    <row r="53" spans="2:9" ht="15" customHeight="1" x14ac:dyDescent="0.2">
      <c r="B53" t="s">
        <v>167</v>
      </c>
      <c r="C53" s="12">
        <v>56</v>
      </c>
      <c r="D53" s="8">
        <v>2.16</v>
      </c>
      <c r="E53" s="12">
        <v>49</v>
      </c>
      <c r="F53" s="8">
        <v>3.71</v>
      </c>
      <c r="G53" s="12">
        <v>7</v>
      </c>
      <c r="H53" s="8">
        <v>0.56000000000000005</v>
      </c>
      <c r="I53" s="12">
        <v>0</v>
      </c>
    </row>
    <row r="54" spans="2:9" ht="15" customHeight="1" x14ac:dyDescent="0.2">
      <c r="B54" t="s">
        <v>164</v>
      </c>
      <c r="C54" s="12">
        <v>55</v>
      </c>
      <c r="D54" s="8">
        <v>2.13</v>
      </c>
      <c r="E54" s="12">
        <v>53</v>
      </c>
      <c r="F54" s="8">
        <v>4.01</v>
      </c>
      <c r="G54" s="12">
        <v>2</v>
      </c>
      <c r="H54" s="8">
        <v>0.16</v>
      </c>
      <c r="I54" s="12">
        <v>0</v>
      </c>
    </row>
    <row r="55" spans="2:9" ht="15" customHeight="1" x14ac:dyDescent="0.2">
      <c r="B55" t="s">
        <v>165</v>
      </c>
      <c r="C55" s="12">
        <v>54</v>
      </c>
      <c r="D55" s="8">
        <v>2.09</v>
      </c>
      <c r="E55" s="12">
        <v>45</v>
      </c>
      <c r="F55" s="8">
        <v>3.41</v>
      </c>
      <c r="G55" s="12">
        <v>9</v>
      </c>
      <c r="H55" s="8">
        <v>0.72</v>
      </c>
      <c r="I55" s="12">
        <v>0</v>
      </c>
    </row>
    <row r="56" spans="2:9" ht="15" customHeight="1" x14ac:dyDescent="0.2">
      <c r="B56" t="s">
        <v>166</v>
      </c>
      <c r="C56" s="12">
        <v>54</v>
      </c>
      <c r="D56" s="8">
        <v>2.09</v>
      </c>
      <c r="E56" s="12">
        <v>50</v>
      </c>
      <c r="F56" s="8">
        <v>3.79</v>
      </c>
      <c r="G56" s="12">
        <v>4</v>
      </c>
      <c r="H56" s="8">
        <v>0.32</v>
      </c>
      <c r="I56" s="12">
        <v>0</v>
      </c>
    </row>
    <row r="57" spans="2:9" ht="15" customHeight="1" x14ac:dyDescent="0.2">
      <c r="B57" t="s">
        <v>155</v>
      </c>
      <c r="C57" s="12">
        <v>48</v>
      </c>
      <c r="D57" s="8">
        <v>1.85</v>
      </c>
      <c r="E57" s="12">
        <v>14</v>
      </c>
      <c r="F57" s="8">
        <v>1.06</v>
      </c>
      <c r="G57" s="12">
        <v>34</v>
      </c>
      <c r="H57" s="8">
        <v>2.7</v>
      </c>
      <c r="I57" s="12">
        <v>0</v>
      </c>
    </row>
    <row r="58" spans="2:9" ht="15" customHeight="1" x14ac:dyDescent="0.2">
      <c r="B58" t="s">
        <v>215</v>
      </c>
      <c r="C58" s="12">
        <v>46</v>
      </c>
      <c r="D58" s="8">
        <v>1.78</v>
      </c>
      <c r="E58" s="12">
        <v>38</v>
      </c>
      <c r="F58" s="8">
        <v>2.88</v>
      </c>
      <c r="G58" s="12">
        <v>8</v>
      </c>
      <c r="H58" s="8">
        <v>0.64</v>
      </c>
      <c r="I58" s="12">
        <v>0</v>
      </c>
    </row>
    <row r="59" spans="2:9" ht="15" customHeight="1" x14ac:dyDescent="0.2">
      <c r="B59" t="s">
        <v>190</v>
      </c>
      <c r="C59" s="12">
        <v>43</v>
      </c>
      <c r="D59" s="8">
        <v>1.66</v>
      </c>
      <c r="E59" s="12">
        <v>2</v>
      </c>
      <c r="F59" s="8">
        <v>0.15</v>
      </c>
      <c r="G59" s="12">
        <v>41</v>
      </c>
      <c r="H59" s="8">
        <v>3.26</v>
      </c>
      <c r="I59" s="12">
        <v>0</v>
      </c>
    </row>
    <row r="60" spans="2:9" ht="15" customHeight="1" x14ac:dyDescent="0.2">
      <c r="B60" t="s">
        <v>156</v>
      </c>
      <c r="C60" s="12">
        <v>42</v>
      </c>
      <c r="D60" s="8">
        <v>1.62</v>
      </c>
      <c r="E60" s="12">
        <v>35</v>
      </c>
      <c r="F60" s="8">
        <v>2.65</v>
      </c>
      <c r="G60" s="12">
        <v>7</v>
      </c>
      <c r="H60" s="8">
        <v>0.56000000000000005</v>
      </c>
      <c r="I60" s="12">
        <v>0</v>
      </c>
    </row>
    <row r="61" spans="2:9" ht="15" customHeight="1" x14ac:dyDescent="0.2">
      <c r="B61" t="s">
        <v>170</v>
      </c>
      <c r="C61" s="12">
        <v>42</v>
      </c>
      <c r="D61" s="8">
        <v>1.62</v>
      </c>
      <c r="E61" s="12">
        <v>34</v>
      </c>
      <c r="F61" s="8">
        <v>2.57</v>
      </c>
      <c r="G61" s="12">
        <v>8</v>
      </c>
      <c r="H61" s="8">
        <v>0.64</v>
      </c>
      <c r="I61" s="12">
        <v>0</v>
      </c>
    </row>
    <row r="62" spans="2:9" ht="15" customHeight="1" x14ac:dyDescent="0.2">
      <c r="B62" t="s">
        <v>157</v>
      </c>
      <c r="C62" s="12">
        <v>41</v>
      </c>
      <c r="D62" s="8">
        <v>1.58</v>
      </c>
      <c r="E62" s="12">
        <v>32</v>
      </c>
      <c r="F62" s="8">
        <v>2.42</v>
      </c>
      <c r="G62" s="12">
        <v>9</v>
      </c>
      <c r="H62" s="8">
        <v>0.72</v>
      </c>
      <c r="I62" s="12">
        <v>0</v>
      </c>
    </row>
    <row r="63" spans="2:9" ht="15" customHeight="1" x14ac:dyDescent="0.2">
      <c r="B63" t="s">
        <v>159</v>
      </c>
      <c r="C63" s="12">
        <v>41</v>
      </c>
      <c r="D63" s="8">
        <v>1.58</v>
      </c>
      <c r="E63" s="12">
        <v>4</v>
      </c>
      <c r="F63" s="8">
        <v>0.3</v>
      </c>
      <c r="G63" s="12">
        <v>36</v>
      </c>
      <c r="H63" s="8">
        <v>2.86</v>
      </c>
      <c r="I63" s="12">
        <v>1</v>
      </c>
    </row>
    <row r="64" spans="2:9" ht="15" customHeight="1" x14ac:dyDescent="0.2">
      <c r="B64" t="s">
        <v>153</v>
      </c>
      <c r="C64" s="12">
        <v>39</v>
      </c>
      <c r="D64" s="8">
        <v>1.51</v>
      </c>
      <c r="E64" s="12">
        <v>17</v>
      </c>
      <c r="F64" s="8">
        <v>1.29</v>
      </c>
      <c r="G64" s="12">
        <v>22</v>
      </c>
      <c r="H64" s="8">
        <v>1.75</v>
      </c>
      <c r="I64" s="12">
        <v>0</v>
      </c>
    </row>
    <row r="65" spans="2:9" ht="15" customHeight="1" x14ac:dyDescent="0.2">
      <c r="B65" t="s">
        <v>161</v>
      </c>
      <c r="C65" s="12">
        <v>38</v>
      </c>
      <c r="D65" s="8">
        <v>1.47</v>
      </c>
      <c r="E65" s="12">
        <v>21</v>
      </c>
      <c r="F65" s="8">
        <v>1.59</v>
      </c>
      <c r="G65" s="12">
        <v>17</v>
      </c>
      <c r="H65" s="8">
        <v>1.35</v>
      </c>
      <c r="I65" s="12">
        <v>0</v>
      </c>
    </row>
    <row r="66" spans="2:9" ht="15" customHeight="1" x14ac:dyDescent="0.2">
      <c r="B66" t="s">
        <v>198</v>
      </c>
      <c r="C66" s="12">
        <v>36</v>
      </c>
      <c r="D66" s="8">
        <v>1.39</v>
      </c>
      <c r="E66" s="12">
        <v>33</v>
      </c>
      <c r="F66" s="8">
        <v>2.5</v>
      </c>
      <c r="G66" s="12">
        <v>3</v>
      </c>
      <c r="H66" s="8">
        <v>0.24</v>
      </c>
      <c r="I66" s="12">
        <v>0</v>
      </c>
    </row>
    <row r="67" spans="2:9" ht="15" customHeight="1" x14ac:dyDescent="0.2">
      <c r="B67" t="s">
        <v>152</v>
      </c>
      <c r="C67" s="12">
        <v>35</v>
      </c>
      <c r="D67" s="8">
        <v>1.35</v>
      </c>
      <c r="E67" s="12">
        <v>6</v>
      </c>
      <c r="F67" s="8">
        <v>0.45</v>
      </c>
      <c r="G67" s="12">
        <v>29</v>
      </c>
      <c r="H67" s="8">
        <v>2.31</v>
      </c>
      <c r="I67" s="12">
        <v>0</v>
      </c>
    </row>
    <row r="68" spans="2:9" ht="15" customHeight="1" x14ac:dyDescent="0.2">
      <c r="B68" t="s">
        <v>176</v>
      </c>
      <c r="C68" s="12">
        <v>35</v>
      </c>
      <c r="D68" s="8">
        <v>1.35</v>
      </c>
      <c r="E68" s="12">
        <v>19</v>
      </c>
      <c r="F68" s="8">
        <v>1.44</v>
      </c>
      <c r="G68" s="12">
        <v>16</v>
      </c>
      <c r="H68" s="8">
        <v>1.27</v>
      </c>
      <c r="I68" s="12">
        <v>0</v>
      </c>
    </row>
    <row r="70" spans="2:9" ht="15" customHeight="1" x14ac:dyDescent="0.2">
      <c r="B70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2E380-9CD0-48AF-AC93-3485649169A9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320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224</v>
      </c>
      <c r="D6" s="8">
        <v>11.21</v>
      </c>
      <c r="E6" s="12">
        <v>63</v>
      </c>
      <c r="F6" s="8">
        <v>5.86</v>
      </c>
      <c r="G6" s="12">
        <v>161</v>
      </c>
      <c r="H6" s="8">
        <v>17.649999999999999</v>
      </c>
      <c r="I6" s="12">
        <v>0</v>
      </c>
    </row>
    <row r="7" spans="2:9" ht="15" customHeight="1" x14ac:dyDescent="0.2">
      <c r="B7" t="s">
        <v>77</v>
      </c>
      <c r="C7" s="12">
        <v>259</v>
      </c>
      <c r="D7" s="8">
        <v>12.96</v>
      </c>
      <c r="E7" s="12">
        <v>86</v>
      </c>
      <c r="F7" s="8">
        <v>8</v>
      </c>
      <c r="G7" s="12">
        <v>173</v>
      </c>
      <c r="H7" s="8">
        <v>18.97</v>
      </c>
      <c r="I7" s="12">
        <v>0</v>
      </c>
    </row>
    <row r="8" spans="2:9" ht="15" customHeight="1" x14ac:dyDescent="0.2">
      <c r="B8" t="s">
        <v>78</v>
      </c>
      <c r="C8" s="12">
        <v>1</v>
      </c>
      <c r="D8" s="8">
        <v>0.05</v>
      </c>
      <c r="E8" s="12">
        <v>0</v>
      </c>
      <c r="F8" s="8">
        <v>0</v>
      </c>
      <c r="G8" s="12">
        <v>1</v>
      </c>
      <c r="H8" s="8">
        <v>0.11</v>
      </c>
      <c r="I8" s="12">
        <v>0</v>
      </c>
    </row>
    <row r="9" spans="2:9" ht="15" customHeight="1" x14ac:dyDescent="0.2">
      <c r="B9" t="s">
        <v>79</v>
      </c>
      <c r="C9" s="12">
        <v>15</v>
      </c>
      <c r="D9" s="8">
        <v>0.75</v>
      </c>
      <c r="E9" s="12">
        <v>0</v>
      </c>
      <c r="F9" s="8">
        <v>0</v>
      </c>
      <c r="G9" s="12">
        <v>14</v>
      </c>
      <c r="H9" s="8">
        <v>1.54</v>
      </c>
      <c r="I9" s="12">
        <v>1</v>
      </c>
    </row>
    <row r="10" spans="2:9" ht="15" customHeight="1" x14ac:dyDescent="0.2">
      <c r="B10" t="s">
        <v>80</v>
      </c>
      <c r="C10" s="12">
        <v>22</v>
      </c>
      <c r="D10" s="8">
        <v>1.1000000000000001</v>
      </c>
      <c r="E10" s="12">
        <v>3</v>
      </c>
      <c r="F10" s="8">
        <v>0.28000000000000003</v>
      </c>
      <c r="G10" s="12">
        <v>19</v>
      </c>
      <c r="H10" s="8">
        <v>2.08</v>
      </c>
      <c r="I10" s="12">
        <v>0</v>
      </c>
    </row>
    <row r="11" spans="2:9" ht="15" customHeight="1" x14ac:dyDescent="0.2">
      <c r="B11" t="s">
        <v>81</v>
      </c>
      <c r="C11" s="12">
        <v>406</v>
      </c>
      <c r="D11" s="8">
        <v>20.309999999999999</v>
      </c>
      <c r="E11" s="12">
        <v>216</v>
      </c>
      <c r="F11" s="8">
        <v>20.09</v>
      </c>
      <c r="G11" s="12">
        <v>189</v>
      </c>
      <c r="H11" s="8">
        <v>20.72</v>
      </c>
      <c r="I11" s="12">
        <v>1</v>
      </c>
    </row>
    <row r="12" spans="2:9" ht="15" customHeight="1" x14ac:dyDescent="0.2">
      <c r="B12" t="s">
        <v>82</v>
      </c>
      <c r="C12" s="12">
        <v>7</v>
      </c>
      <c r="D12" s="8">
        <v>0.35</v>
      </c>
      <c r="E12" s="12">
        <v>1</v>
      </c>
      <c r="F12" s="8">
        <v>0.09</v>
      </c>
      <c r="G12" s="12">
        <v>6</v>
      </c>
      <c r="H12" s="8">
        <v>0.66</v>
      </c>
      <c r="I12" s="12">
        <v>0</v>
      </c>
    </row>
    <row r="13" spans="2:9" ht="15" customHeight="1" x14ac:dyDescent="0.2">
      <c r="B13" t="s">
        <v>83</v>
      </c>
      <c r="C13" s="12">
        <v>380</v>
      </c>
      <c r="D13" s="8">
        <v>19.010000000000002</v>
      </c>
      <c r="E13" s="12">
        <v>213</v>
      </c>
      <c r="F13" s="8">
        <v>19.809999999999999</v>
      </c>
      <c r="G13" s="12">
        <v>166</v>
      </c>
      <c r="H13" s="8">
        <v>18.2</v>
      </c>
      <c r="I13" s="12">
        <v>1</v>
      </c>
    </row>
    <row r="14" spans="2:9" ht="15" customHeight="1" x14ac:dyDescent="0.2">
      <c r="B14" t="s">
        <v>84</v>
      </c>
      <c r="C14" s="12">
        <v>75</v>
      </c>
      <c r="D14" s="8">
        <v>3.75</v>
      </c>
      <c r="E14" s="12">
        <v>36</v>
      </c>
      <c r="F14" s="8">
        <v>3.35</v>
      </c>
      <c r="G14" s="12">
        <v>39</v>
      </c>
      <c r="H14" s="8">
        <v>4.28</v>
      </c>
      <c r="I14" s="12">
        <v>0</v>
      </c>
    </row>
    <row r="15" spans="2:9" ht="15" customHeight="1" x14ac:dyDescent="0.2">
      <c r="B15" t="s">
        <v>85</v>
      </c>
      <c r="C15" s="12">
        <v>158</v>
      </c>
      <c r="D15" s="8">
        <v>7.9</v>
      </c>
      <c r="E15" s="12">
        <v>141</v>
      </c>
      <c r="F15" s="8">
        <v>13.12</v>
      </c>
      <c r="G15" s="12">
        <v>17</v>
      </c>
      <c r="H15" s="8">
        <v>1.86</v>
      </c>
      <c r="I15" s="12">
        <v>0</v>
      </c>
    </row>
    <row r="16" spans="2:9" ht="15" customHeight="1" x14ac:dyDescent="0.2">
      <c r="B16" t="s">
        <v>86</v>
      </c>
      <c r="C16" s="12">
        <v>199</v>
      </c>
      <c r="D16" s="8">
        <v>9.9499999999999993</v>
      </c>
      <c r="E16" s="12">
        <v>159</v>
      </c>
      <c r="F16" s="8">
        <v>14.79</v>
      </c>
      <c r="G16" s="12">
        <v>38</v>
      </c>
      <c r="H16" s="8">
        <v>4.17</v>
      </c>
      <c r="I16" s="12">
        <v>0</v>
      </c>
    </row>
    <row r="17" spans="2:9" ht="15" customHeight="1" x14ac:dyDescent="0.2">
      <c r="B17" t="s">
        <v>87</v>
      </c>
      <c r="C17" s="12">
        <v>90</v>
      </c>
      <c r="D17" s="8">
        <v>4.5</v>
      </c>
      <c r="E17" s="12">
        <v>73</v>
      </c>
      <c r="F17" s="8">
        <v>6.79</v>
      </c>
      <c r="G17" s="12">
        <v>14</v>
      </c>
      <c r="H17" s="8">
        <v>1.54</v>
      </c>
      <c r="I17" s="12">
        <v>0</v>
      </c>
    </row>
    <row r="18" spans="2:9" ht="15" customHeight="1" x14ac:dyDescent="0.2">
      <c r="B18" t="s">
        <v>88</v>
      </c>
      <c r="C18" s="12">
        <v>108</v>
      </c>
      <c r="D18" s="8">
        <v>5.4</v>
      </c>
      <c r="E18" s="12">
        <v>63</v>
      </c>
      <c r="F18" s="8">
        <v>5.86</v>
      </c>
      <c r="G18" s="12">
        <v>41</v>
      </c>
      <c r="H18" s="8">
        <v>4.5</v>
      </c>
      <c r="I18" s="12">
        <v>2</v>
      </c>
    </row>
    <row r="19" spans="2:9" ht="15" customHeight="1" x14ac:dyDescent="0.2">
      <c r="B19" t="s">
        <v>89</v>
      </c>
      <c r="C19" s="12">
        <v>55</v>
      </c>
      <c r="D19" s="8">
        <v>2.75</v>
      </c>
      <c r="E19" s="12">
        <v>21</v>
      </c>
      <c r="F19" s="8">
        <v>1.95</v>
      </c>
      <c r="G19" s="12">
        <v>34</v>
      </c>
      <c r="H19" s="8">
        <v>3.73</v>
      </c>
      <c r="I19" s="12">
        <v>0</v>
      </c>
    </row>
    <row r="20" spans="2:9" ht="15" customHeight="1" x14ac:dyDescent="0.2">
      <c r="B20" s="9" t="s">
        <v>271</v>
      </c>
      <c r="C20" s="12">
        <f>SUM(LTBL_27214[総数／事業所数])</f>
        <v>1999</v>
      </c>
      <c r="E20" s="12">
        <f>SUBTOTAL(109,LTBL_27214[個人／事業所数])</f>
        <v>1075</v>
      </c>
      <c r="G20" s="12">
        <f>SUBTOTAL(109,LTBL_27214[法人／事業所数])</f>
        <v>912</v>
      </c>
      <c r="I20" s="12">
        <f>SUBTOTAL(109,LTBL_27214[法人以外の団体／事業所数])</f>
        <v>5</v>
      </c>
    </row>
    <row r="21" spans="2:9" ht="15" customHeight="1" x14ac:dyDescent="0.2">
      <c r="E21" s="11">
        <f>LTBL_27214[[#Totals],[個人／事業所数]]/LTBL_27214[[#Totals],[総数／事業所数]]</f>
        <v>0.53776888444222115</v>
      </c>
      <c r="G21" s="11">
        <f>LTBL_27214[[#Totals],[法人／事業所数]]/LTBL_27214[[#Totals],[総数／事業所数]]</f>
        <v>0.45622811405702851</v>
      </c>
      <c r="I21" s="11">
        <f>LTBL_27214[[#Totals],[法人以外の団体／事業所数]]/LTBL_27214[[#Totals],[総数／事業所数]]</f>
        <v>2.5012506253126563E-3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110</v>
      </c>
      <c r="C24" s="12">
        <v>347</v>
      </c>
      <c r="D24" s="8">
        <v>17.36</v>
      </c>
      <c r="E24" s="12">
        <v>205</v>
      </c>
      <c r="F24" s="8">
        <v>19.07</v>
      </c>
      <c r="G24" s="12">
        <v>141</v>
      </c>
      <c r="H24" s="8">
        <v>15.46</v>
      </c>
      <c r="I24" s="12">
        <v>1</v>
      </c>
    </row>
    <row r="25" spans="2:9" ht="15" customHeight="1" x14ac:dyDescent="0.2">
      <c r="B25" t="s">
        <v>114</v>
      </c>
      <c r="C25" s="12">
        <v>158</v>
      </c>
      <c r="D25" s="8">
        <v>7.9</v>
      </c>
      <c r="E25" s="12">
        <v>137</v>
      </c>
      <c r="F25" s="8">
        <v>12.74</v>
      </c>
      <c r="G25" s="12">
        <v>21</v>
      </c>
      <c r="H25" s="8">
        <v>2.2999999999999998</v>
      </c>
      <c r="I25" s="12">
        <v>0</v>
      </c>
    </row>
    <row r="26" spans="2:9" ht="15" customHeight="1" x14ac:dyDescent="0.2">
      <c r="B26" t="s">
        <v>113</v>
      </c>
      <c r="C26" s="12">
        <v>139</v>
      </c>
      <c r="D26" s="8">
        <v>6.95</v>
      </c>
      <c r="E26" s="12">
        <v>130</v>
      </c>
      <c r="F26" s="8">
        <v>12.09</v>
      </c>
      <c r="G26" s="12">
        <v>9</v>
      </c>
      <c r="H26" s="8">
        <v>0.99</v>
      </c>
      <c r="I26" s="12">
        <v>0</v>
      </c>
    </row>
    <row r="27" spans="2:9" ht="15" customHeight="1" x14ac:dyDescent="0.2">
      <c r="B27" t="s">
        <v>108</v>
      </c>
      <c r="C27" s="12">
        <v>121</v>
      </c>
      <c r="D27" s="8">
        <v>6.05</v>
      </c>
      <c r="E27" s="12">
        <v>82</v>
      </c>
      <c r="F27" s="8">
        <v>7.63</v>
      </c>
      <c r="G27" s="12">
        <v>39</v>
      </c>
      <c r="H27" s="8">
        <v>4.28</v>
      </c>
      <c r="I27" s="12">
        <v>0</v>
      </c>
    </row>
    <row r="28" spans="2:9" ht="15" customHeight="1" x14ac:dyDescent="0.2">
      <c r="B28" t="s">
        <v>98</v>
      </c>
      <c r="C28" s="12">
        <v>112</v>
      </c>
      <c r="D28" s="8">
        <v>5.6</v>
      </c>
      <c r="E28" s="12">
        <v>28</v>
      </c>
      <c r="F28" s="8">
        <v>2.6</v>
      </c>
      <c r="G28" s="12">
        <v>84</v>
      </c>
      <c r="H28" s="8">
        <v>9.2100000000000009</v>
      </c>
      <c r="I28" s="12">
        <v>0</v>
      </c>
    </row>
    <row r="29" spans="2:9" ht="15" customHeight="1" x14ac:dyDescent="0.2">
      <c r="B29" t="s">
        <v>115</v>
      </c>
      <c r="C29" s="12">
        <v>90</v>
      </c>
      <c r="D29" s="8">
        <v>4.5</v>
      </c>
      <c r="E29" s="12">
        <v>73</v>
      </c>
      <c r="F29" s="8">
        <v>6.79</v>
      </c>
      <c r="G29" s="12">
        <v>14</v>
      </c>
      <c r="H29" s="8">
        <v>1.54</v>
      </c>
      <c r="I29" s="12">
        <v>0</v>
      </c>
    </row>
    <row r="30" spans="2:9" ht="15" customHeight="1" x14ac:dyDescent="0.2">
      <c r="B30" t="s">
        <v>116</v>
      </c>
      <c r="C30" s="12">
        <v>74</v>
      </c>
      <c r="D30" s="8">
        <v>3.7</v>
      </c>
      <c r="E30" s="12">
        <v>63</v>
      </c>
      <c r="F30" s="8">
        <v>5.86</v>
      </c>
      <c r="G30" s="12">
        <v>10</v>
      </c>
      <c r="H30" s="8">
        <v>1.1000000000000001</v>
      </c>
      <c r="I30" s="12">
        <v>1</v>
      </c>
    </row>
    <row r="31" spans="2:9" ht="15" customHeight="1" x14ac:dyDescent="0.2">
      <c r="B31" t="s">
        <v>106</v>
      </c>
      <c r="C31" s="12">
        <v>65</v>
      </c>
      <c r="D31" s="8">
        <v>3.25</v>
      </c>
      <c r="E31" s="12">
        <v>52</v>
      </c>
      <c r="F31" s="8">
        <v>4.84</v>
      </c>
      <c r="G31" s="12">
        <v>12</v>
      </c>
      <c r="H31" s="8">
        <v>1.32</v>
      </c>
      <c r="I31" s="12">
        <v>1</v>
      </c>
    </row>
    <row r="32" spans="2:9" ht="15" customHeight="1" x14ac:dyDescent="0.2">
      <c r="B32" t="s">
        <v>107</v>
      </c>
      <c r="C32" s="12">
        <v>60</v>
      </c>
      <c r="D32" s="8">
        <v>3</v>
      </c>
      <c r="E32" s="12">
        <v>37</v>
      </c>
      <c r="F32" s="8">
        <v>3.44</v>
      </c>
      <c r="G32" s="12">
        <v>23</v>
      </c>
      <c r="H32" s="8">
        <v>2.52</v>
      </c>
      <c r="I32" s="12">
        <v>0</v>
      </c>
    </row>
    <row r="33" spans="2:9" ht="15" customHeight="1" x14ac:dyDescent="0.2">
      <c r="B33" t="s">
        <v>101</v>
      </c>
      <c r="C33" s="12">
        <v>58</v>
      </c>
      <c r="D33" s="8">
        <v>2.9</v>
      </c>
      <c r="E33" s="12">
        <v>24</v>
      </c>
      <c r="F33" s="8">
        <v>2.23</v>
      </c>
      <c r="G33" s="12">
        <v>34</v>
      </c>
      <c r="H33" s="8">
        <v>3.73</v>
      </c>
      <c r="I33" s="12">
        <v>0</v>
      </c>
    </row>
    <row r="34" spans="2:9" ht="15" customHeight="1" x14ac:dyDescent="0.2">
      <c r="B34" t="s">
        <v>99</v>
      </c>
      <c r="C34" s="12">
        <v>56</v>
      </c>
      <c r="D34" s="8">
        <v>2.8</v>
      </c>
      <c r="E34" s="12">
        <v>17</v>
      </c>
      <c r="F34" s="8">
        <v>1.58</v>
      </c>
      <c r="G34" s="12">
        <v>39</v>
      </c>
      <c r="H34" s="8">
        <v>4.28</v>
      </c>
      <c r="I34" s="12">
        <v>0</v>
      </c>
    </row>
    <row r="35" spans="2:9" ht="15" customHeight="1" x14ac:dyDescent="0.2">
      <c r="B35" t="s">
        <v>100</v>
      </c>
      <c r="C35" s="12">
        <v>56</v>
      </c>
      <c r="D35" s="8">
        <v>2.8</v>
      </c>
      <c r="E35" s="12">
        <v>18</v>
      </c>
      <c r="F35" s="8">
        <v>1.67</v>
      </c>
      <c r="G35" s="12">
        <v>38</v>
      </c>
      <c r="H35" s="8">
        <v>4.17</v>
      </c>
      <c r="I35" s="12">
        <v>0</v>
      </c>
    </row>
    <row r="36" spans="2:9" ht="15" customHeight="1" x14ac:dyDescent="0.2">
      <c r="B36" t="s">
        <v>105</v>
      </c>
      <c r="C36" s="12">
        <v>47</v>
      </c>
      <c r="D36" s="8">
        <v>2.35</v>
      </c>
      <c r="E36" s="12">
        <v>28</v>
      </c>
      <c r="F36" s="8">
        <v>2.6</v>
      </c>
      <c r="G36" s="12">
        <v>19</v>
      </c>
      <c r="H36" s="8">
        <v>2.08</v>
      </c>
      <c r="I36" s="12">
        <v>0</v>
      </c>
    </row>
    <row r="37" spans="2:9" ht="15" customHeight="1" x14ac:dyDescent="0.2">
      <c r="B37" t="s">
        <v>111</v>
      </c>
      <c r="C37" s="12">
        <v>41</v>
      </c>
      <c r="D37" s="8">
        <v>2.0499999999999998</v>
      </c>
      <c r="E37" s="12">
        <v>26</v>
      </c>
      <c r="F37" s="8">
        <v>2.42</v>
      </c>
      <c r="G37" s="12">
        <v>15</v>
      </c>
      <c r="H37" s="8">
        <v>1.64</v>
      </c>
      <c r="I37" s="12">
        <v>0</v>
      </c>
    </row>
    <row r="38" spans="2:9" ht="15" customHeight="1" x14ac:dyDescent="0.2">
      <c r="B38" t="s">
        <v>117</v>
      </c>
      <c r="C38" s="12">
        <v>34</v>
      </c>
      <c r="D38" s="8">
        <v>1.7</v>
      </c>
      <c r="E38" s="12">
        <v>0</v>
      </c>
      <c r="F38" s="8">
        <v>0</v>
      </c>
      <c r="G38" s="12">
        <v>31</v>
      </c>
      <c r="H38" s="8">
        <v>3.4</v>
      </c>
      <c r="I38" s="12">
        <v>1</v>
      </c>
    </row>
    <row r="39" spans="2:9" ht="15" customHeight="1" x14ac:dyDescent="0.2">
      <c r="B39" t="s">
        <v>112</v>
      </c>
      <c r="C39" s="12">
        <v>32</v>
      </c>
      <c r="D39" s="8">
        <v>1.6</v>
      </c>
      <c r="E39" s="12">
        <v>9</v>
      </c>
      <c r="F39" s="8">
        <v>0.84</v>
      </c>
      <c r="G39" s="12">
        <v>23</v>
      </c>
      <c r="H39" s="8">
        <v>2.52</v>
      </c>
      <c r="I39" s="12">
        <v>0</v>
      </c>
    </row>
    <row r="40" spans="2:9" ht="15" customHeight="1" x14ac:dyDescent="0.2">
      <c r="B40" t="s">
        <v>104</v>
      </c>
      <c r="C40" s="12">
        <v>30</v>
      </c>
      <c r="D40" s="8">
        <v>1.5</v>
      </c>
      <c r="E40" s="12">
        <v>2</v>
      </c>
      <c r="F40" s="8">
        <v>0.19</v>
      </c>
      <c r="G40" s="12">
        <v>28</v>
      </c>
      <c r="H40" s="8">
        <v>3.07</v>
      </c>
      <c r="I40" s="12">
        <v>0</v>
      </c>
    </row>
    <row r="41" spans="2:9" ht="15" customHeight="1" x14ac:dyDescent="0.2">
      <c r="B41" t="s">
        <v>127</v>
      </c>
      <c r="C41" s="12">
        <v>29</v>
      </c>
      <c r="D41" s="8">
        <v>1.45</v>
      </c>
      <c r="E41" s="12">
        <v>6</v>
      </c>
      <c r="F41" s="8">
        <v>0.56000000000000005</v>
      </c>
      <c r="G41" s="12">
        <v>23</v>
      </c>
      <c r="H41" s="8">
        <v>2.52</v>
      </c>
      <c r="I41" s="12">
        <v>0</v>
      </c>
    </row>
    <row r="42" spans="2:9" ht="15" customHeight="1" x14ac:dyDescent="0.2">
      <c r="B42" t="s">
        <v>109</v>
      </c>
      <c r="C42" s="12">
        <v>29</v>
      </c>
      <c r="D42" s="8">
        <v>1.45</v>
      </c>
      <c r="E42" s="12">
        <v>6</v>
      </c>
      <c r="F42" s="8">
        <v>0.56000000000000005</v>
      </c>
      <c r="G42" s="12">
        <v>23</v>
      </c>
      <c r="H42" s="8">
        <v>2.52</v>
      </c>
      <c r="I42" s="12">
        <v>0</v>
      </c>
    </row>
    <row r="43" spans="2:9" ht="15" customHeight="1" x14ac:dyDescent="0.2">
      <c r="B43" t="s">
        <v>130</v>
      </c>
      <c r="C43" s="12">
        <v>27</v>
      </c>
      <c r="D43" s="8">
        <v>1.35</v>
      </c>
      <c r="E43" s="12">
        <v>17</v>
      </c>
      <c r="F43" s="8">
        <v>1.58</v>
      </c>
      <c r="G43" s="12">
        <v>8</v>
      </c>
      <c r="H43" s="8">
        <v>0.88</v>
      </c>
      <c r="I43" s="12">
        <v>0</v>
      </c>
    </row>
    <row r="46" spans="2:9" ht="33" customHeight="1" x14ac:dyDescent="0.2">
      <c r="B46" t="s">
        <v>273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160</v>
      </c>
      <c r="C47" s="12">
        <v>141</v>
      </c>
      <c r="D47" s="8">
        <v>7.05</v>
      </c>
      <c r="E47" s="12">
        <v>89</v>
      </c>
      <c r="F47" s="8">
        <v>8.2799999999999994</v>
      </c>
      <c r="G47" s="12">
        <v>52</v>
      </c>
      <c r="H47" s="8">
        <v>5.7</v>
      </c>
      <c r="I47" s="12">
        <v>0</v>
      </c>
    </row>
    <row r="48" spans="2:9" ht="15" customHeight="1" x14ac:dyDescent="0.2">
      <c r="B48" t="s">
        <v>161</v>
      </c>
      <c r="C48" s="12">
        <v>111</v>
      </c>
      <c r="D48" s="8">
        <v>5.55</v>
      </c>
      <c r="E48" s="12">
        <v>104</v>
      </c>
      <c r="F48" s="8">
        <v>9.67</v>
      </c>
      <c r="G48" s="12">
        <v>7</v>
      </c>
      <c r="H48" s="8">
        <v>0.77</v>
      </c>
      <c r="I48" s="12">
        <v>0</v>
      </c>
    </row>
    <row r="49" spans="2:9" ht="15" customHeight="1" x14ac:dyDescent="0.2">
      <c r="B49" t="s">
        <v>169</v>
      </c>
      <c r="C49" s="12">
        <v>86</v>
      </c>
      <c r="D49" s="8">
        <v>4.3</v>
      </c>
      <c r="E49" s="12">
        <v>75</v>
      </c>
      <c r="F49" s="8">
        <v>6.98</v>
      </c>
      <c r="G49" s="12">
        <v>11</v>
      </c>
      <c r="H49" s="8">
        <v>1.21</v>
      </c>
      <c r="I49" s="12">
        <v>0</v>
      </c>
    </row>
    <row r="50" spans="2:9" ht="15" customHeight="1" x14ac:dyDescent="0.2">
      <c r="B50" t="s">
        <v>159</v>
      </c>
      <c r="C50" s="12">
        <v>61</v>
      </c>
      <c r="D50" s="8">
        <v>3.05</v>
      </c>
      <c r="E50" s="12">
        <v>8</v>
      </c>
      <c r="F50" s="8">
        <v>0.74</v>
      </c>
      <c r="G50" s="12">
        <v>53</v>
      </c>
      <c r="H50" s="8">
        <v>5.81</v>
      </c>
      <c r="I50" s="12">
        <v>0</v>
      </c>
    </row>
    <row r="51" spans="2:9" ht="15" customHeight="1" x14ac:dyDescent="0.2">
      <c r="B51" t="s">
        <v>171</v>
      </c>
      <c r="C51" s="12">
        <v>61</v>
      </c>
      <c r="D51" s="8">
        <v>3.05</v>
      </c>
      <c r="E51" s="12">
        <v>53</v>
      </c>
      <c r="F51" s="8">
        <v>4.93</v>
      </c>
      <c r="G51" s="12">
        <v>8</v>
      </c>
      <c r="H51" s="8">
        <v>0.88</v>
      </c>
      <c r="I51" s="12">
        <v>0</v>
      </c>
    </row>
    <row r="52" spans="2:9" ht="15" customHeight="1" x14ac:dyDescent="0.2">
      <c r="B52" t="s">
        <v>170</v>
      </c>
      <c r="C52" s="12">
        <v>59</v>
      </c>
      <c r="D52" s="8">
        <v>2.95</v>
      </c>
      <c r="E52" s="12">
        <v>51</v>
      </c>
      <c r="F52" s="8">
        <v>4.74</v>
      </c>
      <c r="G52" s="12">
        <v>8</v>
      </c>
      <c r="H52" s="8">
        <v>0.88</v>
      </c>
      <c r="I52" s="12">
        <v>0</v>
      </c>
    </row>
    <row r="53" spans="2:9" ht="15" customHeight="1" x14ac:dyDescent="0.2">
      <c r="B53" t="s">
        <v>190</v>
      </c>
      <c r="C53" s="12">
        <v>51</v>
      </c>
      <c r="D53" s="8">
        <v>2.5499999999999998</v>
      </c>
      <c r="E53" s="12">
        <v>9</v>
      </c>
      <c r="F53" s="8">
        <v>0.84</v>
      </c>
      <c r="G53" s="12">
        <v>42</v>
      </c>
      <c r="H53" s="8">
        <v>4.6100000000000003</v>
      </c>
      <c r="I53" s="12">
        <v>0</v>
      </c>
    </row>
    <row r="54" spans="2:9" ht="15" customHeight="1" x14ac:dyDescent="0.2">
      <c r="B54" t="s">
        <v>157</v>
      </c>
      <c r="C54" s="12">
        <v>45</v>
      </c>
      <c r="D54" s="8">
        <v>2.25</v>
      </c>
      <c r="E54" s="12">
        <v>40</v>
      </c>
      <c r="F54" s="8">
        <v>3.72</v>
      </c>
      <c r="G54" s="12">
        <v>5</v>
      </c>
      <c r="H54" s="8">
        <v>0.55000000000000004</v>
      </c>
      <c r="I54" s="12">
        <v>0</v>
      </c>
    </row>
    <row r="55" spans="2:9" ht="15" customHeight="1" x14ac:dyDescent="0.2">
      <c r="B55" t="s">
        <v>167</v>
      </c>
      <c r="C55" s="12">
        <v>45</v>
      </c>
      <c r="D55" s="8">
        <v>2.25</v>
      </c>
      <c r="E55" s="12">
        <v>42</v>
      </c>
      <c r="F55" s="8">
        <v>3.91</v>
      </c>
      <c r="G55" s="12">
        <v>3</v>
      </c>
      <c r="H55" s="8">
        <v>0.33</v>
      </c>
      <c r="I55" s="12">
        <v>0</v>
      </c>
    </row>
    <row r="56" spans="2:9" ht="15" customHeight="1" x14ac:dyDescent="0.2">
      <c r="B56" t="s">
        <v>168</v>
      </c>
      <c r="C56" s="12">
        <v>43</v>
      </c>
      <c r="D56" s="8">
        <v>2.15</v>
      </c>
      <c r="E56" s="12">
        <v>43</v>
      </c>
      <c r="F56" s="8">
        <v>4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162</v>
      </c>
      <c r="C57" s="12">
        <v>34</v>
      </c>
      <c r="D57" s="8">
        <v>1.7</v>
      </c>
      <c r="E57" s="12">
        <v>4</v>
      </c>
      <c r="F57" s="8">
        <v>0.37</v>
      </c>
      <c r="G57" s="12">
        <v>29</v>
      </c>
      <c r="H57" s="8">
        <v>3.18</v>
      </c>
      <c r="I57" s="12">
        <v>1</v>
      </c>
    </row>
    <row r="58" spans="2:9" ht="15" customHeight="1" x14ac:dyDescent="0.2">
      <c r="B58" t="s">
        <v>215</v>
      </c>
      <c r="C58" s="12">
        <v>33</v>
      </c>
      <c r="D58" s="8">
        <v>1.65</v>
      </c>
      <c r="E58" s="12">
        <v>22</v>
      </c>
      <c r="F58" s="8">
        <v>2.0499999999999998</v>
      </c>
      <c r="G58" s="12">
        <v>11</v>
      </c>
      <c r="H58" s="8">
        <v>1.21</v>
      </c>
      <c r="I58" s="12">
        <v>0</v>
      </c>
    </row>
    <row r="59" spans="2:9" ht="15" customHeight="1" x14ac:dyDescent="0.2">
      <c r="B59" t="s">
        <v>164</v>
      </c>
      <c r="C59" s="12">
        <v>29</v>
      </c>
      <c r="D59" s="8">
        <v>1.45</v>
      </c>
      <c r="E59" s="12">
        <v>28</v>
      </c>
      <c r="F59" s="8">
        <v>2.6</v>
      </c>
      <c r="G59" s="12">
        <v>1</v>
      </c>
      <c r="H59" s="8">
        <v>0.11</v>
      </c>
      <c r="I59" s="12">
        <v>0</v>
      </c>
    </row>
    <row r="60" spans="2:9" ht="15" customHeight="1" x14ac:dyDescent="0.2">
      <c r="B60" t="s">
        <v>199</v>
      </c>
      <c r="C60" s="12">
        <v>26</v>
      </c>
      <c r="D60" s="8">
        <v>1.3</v>
      </c>
      <c r="E60" s="12">
        <v>22</v>
      </c>
      <c r="F60" s="8">
        <v>2.0499999999999998</v>
      </c>
      <c r="G60" s="12">
        <v>4</v>
      </c>
      <c r="H60" s="8">
        <v>0.44</v>
      </c>
      <c r="I60" s="12">
        <v>0</v>
      </c>
    </row>
    <row r="61" spans="2:9" ht="15" customHeight="1" x14ac:dyDescent="0.2">
      <c r="B61" t="s">
        <v>154</v>
      </c>
      <c r="C61" s="12">
        <v>25</v>
      </c>
      <c r="D61" s="8">
        <v>1.25</v>
      </c>
      <c r="E61" s="12">
        <v>1</v>
      </c>
      <c r="F61" s="8">
        <v>0.09</v>
      </c>
      <c r="G61" s="12">
        <v>24</v>
      </c>
      <c r="H61" s="8">
        <v>2.63</v>
      </c>
      <c r="I61" s="12">
        <v>0</v>
      </c>
    </row>
    <row r="62" spans="2:9" ht="15" customHeight="1" x14ac:dyDescent="0.2">
      <c r="B62" t="s">
        <v>153</v>
      </c>
      <c r="C62" s="12">
        <v>24</v>
      </c>
      <c r="D62" s="8">
        <v>1.2</v>
      </c>
      <c r="E62" s="12">
        <v>6</v>
      </c>
      <c r="F62" s="8">
        <v>0.56000000000000005</v>
      </c>
      <c r="G62" s="12">
        <v>18</v>
      </c>
      <c r="H62" s="8">
        <v>1.97</v>
      </c>
      <c r="I62" s="12">
        <v>0</v>
      </c>
    </row>
    <row r="63" spans="2:9" ht="15" customHeight="1" x14ac:dyDescent="0.2">
      <c r="B63" t="s">
        <v>152</v>
      </c>
      <c r="C63" s="12">
        <v>23</v>
      </c>
      <c r="D63" s="8">
        <v>1.1499999999999999</v>
      </c>
      <c r="E63" s="12">
        <v>4</v>
      </c>
      <c r="F63" s="8">
        <v>0.37</v>
      </c>
      <c r="G63" s="12">
        <v>19</v>
      </c>
      <c r="H63" s="8">
        <v>2.08</v>
      </c>
      <c r="I63" s="12">
        <v>0</v>
      </c>
    </row>
    <row r="64" spans="2:9" ht="15" customHeight="1" x14ac:dyDescent="0.2">
      <c r="B64" t="s">
        <v>156</v>
      </c>
      <c r="C64" s="12">
        <v>23</v>
      </c>
      <c r="D64" s="8">
        <v>1.1499999999999999</v>
      </c>
      <c r="E64" s="12">
        <v>16</v>
      </c>
      <c r="F64" s="8">
        <v>1.49</v>
      </c>
      <c r="G64" s="12">
        <v>6</v>
      </c>
      <c r="H64" s="8">
        <v>0.66</v>
      </c>
      <c r="I64" s="12">
        <v>1</v>
      </c>
    </row>
    <row r="65" spans="2:9" ht="15" customHeight="1" x14ac:dyDescent="0.2">
      <c r="B65" t="s">
        <v>172</v>
      </c>
      <c r="C65" s="12">
        <v>23</v>
      </c>
      <c r="D65" s="8">
        <v>1.1499999999999999</v>
      </c>
      <c r="E65" s="12">
        <v>5</v>
      </c>
      <c r="F65" s="8">
        <v>0.47</v>
      </c>
      <c r="G65" s="12">
        <v>18</v>
      </c>
      <c r="H65" s="8">
        <v>1.97</v>
      </c>
      <c r="I65" s="12">
        <v>0</v>
      </c>
    </row>
    <row r="66" spans="2:9" ht="15" customHeight="1" x14ac:dyDescent="0.2">
      <c r="B66" t="s">
        <v>198</v>
      </c>
      <c r="C66" s="12">
        <v>23</v>
      </c>
      <c r="D66" s="8">
        <v>1.1499999999999999</v>
      </c>
      <c r="E66" s="12">
        <v>16</v>
      </c>
      <c r="F66" s="8">
        <v>1.49</v>
      </c>
      <c r="G66" s="12">
        <v>7</v>
      </c>
      <c r="H66" s="8">
        <v>0.77</v>
      </c>
      <c r="I66" s="12">
        <v>0</v>
      </c>
    </row>
    <row r="68" spans="2:9" ht="15" customHeight="1" x14ac:dyDescent="0.2">
      <c r="B68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806E8-550B-41EB-9515-9C53EFC4689F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321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564</v>
      </c>
      <c r="D6" s="8">
        <v>13.58</v>
      </c>
      <c r="E6" s="12">
        <v>134</v>
      </c>
      <c r="F6" s="8">
        <v>6.07</v>
      </c>
      <c r="G6" s="12">
        <v>430</v>
      </c>
      <c r="H6" s="8">
        <v>22.28</v>
      </c>
      <c r="I6" s="12">
        <v>0</v>
      </c>
    </row>
    <row r="7" spans="2:9" ht="15" customHeight="1" x14ac:dyDescent="0.2">
      <c r="B7" t="s">
        <v>77</v>
      </c>
      <c r="C7" s="12">
        <v>353</v>
      </c>
      <c r="D7" s="8">
        <v>8.5</v>
      </c>
      <c r="E7" s="12">
        <v>110</v>
      </c>
      <c r="F7" s="8">
        <v>4.9800000000000004</v>
      </c>
      <c r="G7" s="12">
        <v>243</v>
      </c>
      <c r="H7" s="8">
        <v>12.59</v>
      </c>
      <c r="I7" s="12">
        <v>0</v>
      </c>
    </row>
    <row r="8" spans="2:9" ht="15" customHeight="1" x14ac:dyDescent="0.2">
      <c r="B8" t="s">
        <v>78</v>
      </c>
      <c r="C8" s="12">
        <v>2</v>
      </c>
      <c r="D8" s="8">
        <v>0.05</v>
      </c>
      <c r="E8" s="12">
        <v>0</v>
      </c>
      <c r="F8" s="8">
        <v>0</v>
      </c>
      <c r="G8" s="12">
        <v>2</v>
      </c>
      <c r="H8" s="8">
        <v>0.1</v>
      </c>
      <c r="I8" s="12">
        <v>0</v>
      </c>
    </row>
    <row r="9" spans="2:9" ht="15" customHeight="1" x14ac:dyDescent="0.2">
      <c r="B9" t="s">
        <v>79</v>
      </c>
      <c r="C9" s="12">
        <v>35</v>
      </c>
      <c r="D9" s="8">
        <v>0.84</v>
      </c>
      <c r="E9" s="12">
        <v>3</v>
      </c>
      <c r="F9" s="8">
        <v>0.14000000000000001</v>
      </c>
      <c r="G9" s="12">
        <v>32</v>
      </c>
      <c r="H9" s="8">
        <v>1.66</v>
      </c>
      <c r="I9" s="12">
        <v>0</v>
      </c>
    </row>
    <row r="10" spans="2:9" ht="15" customHeight="1" x14ac:dyDescent="0.2">
      <c r="B10" t="s">
        <v>80</v>
      </c>
      <c r="C10" s="12">
        <v>38</v>
      </c>
      <c r="D10" s="8">
        <v>0.91</v>
      </c>
      <c r="E10" s="12">
        <v>3</v>
      </c>
      <c r="F10" s="8">
        <v>0.14000000000000001</v>
      </c>
      <c r="G10" s="12">
        <v>35</v>
      </c>
      <c r="H10" s="8">
        <v>1.81</v>
      </c>
      <c r="I10" s="12">
        <v>0</v>
      </c>
    </row>
    <row r="11" spans="2:9" ht="15" customHeight="1" x14ac:dyDescent="0.2">
      <c r="B11" t="s">
        <v>81</v>
      </c>
      <c r="C11" s="12">
        <v>802</v>
      </c>
      <c r="D11" s="8">
        <v>19.309999999999999</v>
      </c>
      <c r="E11" s="12">
        <v>441</v>
      </c>
      <c r="F11" s="8">
        <v>19.96</v>
      </c>
      <c r="G11" s="12">
        <v>361</v>
      </c>
      <c r="H11" s="8">
        <v>18.7</v>
      </c>
      <c r="I11" s="12">
        <v>0</v>
      </c>
    </row>
    <row r="12" spans="2:9" ht="15" customHeight="1" x14ac:dyDescent="0.2">
      <c r="B12" t="s">
        <v>82</v>
      </c>
      <c r="C12" s="12">
        <v>15</v>
      </c>
      <c r="D12" s="8">
        <v>0.36</v>
      </c>
      <c r="E12" s="12">
        <v>3</v>
      </c>
      <c r="F12" s="8">
        <v>0.14000000000000001</v>
      </c>
      <c r="G12" s="12">
        <v>12</v>
      </c>
      <c r="H12" s="8">
        <v>0.62</v>
      </c>
      <c r="I12" s="12">
        <v>0</v>
      </c>
    </row>
    <row r="13" spans="2:9" ht="15" customHeight="1" x14ac:dyDescent="0.2">
      <c r="B13" t="s">
        <v>83</v>
      </c>
      <c r="C13" s="12">
        <v>549</v>
      </c>
      <c r="D13" s="8">
        <v>13.22</v>
      </c>
      <c r="E13" s="12">
        <v>185</v>
      </c>
      <c r="F13" s="8">
        <v>8.3699999999999992</v>
      </c>
      <c r="G13" s="12">
        <v>364</v>
      </c>
      <c r="H13" s="8">
        <v>18.86</v>
      </c>
      <c r="I13" s="12">
        <v>0</v>
      </c>
    </row>
    <row r="14" spans="2:9" ht="15" customHeight="1" x14ac:dyDescent="0.2">
      <c r="B14" t="s">
        <v>84</v>
      </c>
      <c r="C14" s="12">
        <v>157</v>
      </c>
      <c r="D14" s="8">
        <v>3.78</v>
      </c>
      <c r="E14" s="12">
        <v>83</v>
      </c>
      <c r="F14" s="8">
        <v>3.76</v>
      </c>
      <c r="G14" s="12">
        <v>74</v>
      </c>
      <c r="H14" s="8">
        <v>3.83</v>
      </c>
      <c r="I14" s="12">
        <v>0</v>
      </c>
    </row>
    <row r="15" spans="2:9" ht="15" customHeight="1" x14ac:dyDescent="0.2">
      <c r="B15" t="s">
        <v>85</v>
      </c>
      <c r="C15" s="12">
        <v>591</v>
      </c>
      <c r="D15" s="8">
        <v>14.23</v>
      </c>
      <c r="E15" s="12">
        <v>518</v>
      </c>
      <c r="F15" s="8">
        <v>23.45</v>
      </c>
      <c r="G15" s="12">
        <v>72</v>
      </c>
      <c r="H15" s="8">
        <v>3.73</v>
      </c>
      <c r="I15" s="12">
        <v>0</v>
      </c>
    </row>
    <row r="16" spans="2:9" ht="15" customHeight="1" x14ac:dyDescent="0.2">
      <c r="B16" t="s">
        <v>86</v>
      </c>
      <c r="C16" s="12">
        <v>536</v>
      </c>
      <c r="D16" s="8">
        <v>12.9</v>
      </c>
      <c r="E16" s="12">
        <v>443</v>
      </c>
      <c r="F16" s="8">
        <v>20.05</v>
      </c>
      <c r="G16" s="12">
        <v>91</v>
      </c>
      <c r="H16" s="8">
        <v>4.72</v>
      </c>
      <c r="I16" s="12">
        <v>2</v>
      </c>
    </row>
    <row r="17" spans="2:9" ht="15" customHeight="1" x14ac:dyDescent="0.2">
      <c r="B17" t="s">
        <v>87</v>
      </c>
      <c r="C17" s="12">
        <v>138</v>
      </c>
      <c r="D17" s="8">
        <v>3.32</v>
      </c>
      <c r="E17" s="12">
        <v>101</v>
      </c>
      <c r="F17" s="8">
        <v>4.57</v>
      </c>
      <c r="G17" s="12">
        <v>35</v>
      </c>
      <c r="H17" s="8">
        <v>1.81</v>
      </c>
      <c r="I17" s="12">
        <v>1</v>
      </c>
    </row>
    <row r="18" spans="2:9" ht="15" customHeight="1" x14ac:dyDescent="0.2">
      <c r="B18" t="s">
        <v>88</v>
      </c>
      <c r="C18" s="12">
        <v>256</v>
      </c>
      <c r="D18" s="8">
        <v>6.16</v>
      </c>
      <c r="E18" s="12">
        <v>141</v>
      </c>
      <c r="F18" s="8">
        <v>6.38</v>
      </c>
      <c r="G18" s="12">
        <v>109</v>
      </c>
      <c r="H18" s="8">
        <v>5.65</v>
      </c>
      <c r="I18" s="12">
        <v>1</v>
      </c>
    </row>
    <row r="19" spans="2:9" ht="15" customHeight="1" x14ac:dyDescent="0.2">
      <c r="B19" t="s">
        <v>89</v>
      </c>
      <c r="C19" s="12">
        <v>118</v>
      </c>
      <c r="D19" s="8">
        <v>2.84</v>
      </c>
      <c r="E19" s="12">
        <v>44</v>
      </c>
      <c r="F19" s="8">
        <v>1.99</v>
      </c>
      <c r="G19" s="12">
        <v>70</v>
      </c>
      <c r="H19" s="8">
        <v>3.63</v>
      </c>
      <c r="I19" s="12">
        <v>3</v>
      </c>
    </row>
    <row r="20" spans="2:9" ht="15" customHeight="1" x14ac:dyDescent="0.2">
      <c r="B20" s="9" t="s">
        <v>271</v>
      </c>
      <c r="C20" s="12">
        <f>SUM(LTBL_27215[総数／事業所数])</f>
        <v>4154</v>
      </c>
      <c r="E20" s="12">
        <f>SUBTOTAL(109,LTBL_27215[個人／事業所数])</f>
        <v>2209</v>
      </c>
      <c r="G20" s="12">
        <f>SUBTOTAL(109,LTBL_27215[法人／事業所数])</f>
        <v>1930</v>
      </c>
      <c r="I20" s="12">
        <f>SUBTOTAL(109,LTBL_27215[法人以外の団体／事業所数])</f>
        <v>7</v>
      </c>
    </row>
    <row r="21" spans="2:9" ht="15" customHeight="1" x14ac:dyDescent="0.2">
      <c r="E21" s="11">
        <f>LTBL_27215[[#Totals],[個人／事業所数]]/LTBL_27215[[#Totals],[総数／事業所数]]</f>
        <v>0.53177660086663459</v>
      </c>
      <c r="G21" s="11">
        <f>LTBL_27215[[#Totals],[法人／事業所数]]/LTBL_27215[[#Totals],[総数／事業所数]]</f>
        <v>0.46461242176215695</v>
      </c>
      <c r="I21" s="11">
        <f>LTBL_27215[[#Totals],[法人以外の団体／事業所数]]/LTBL_27215[[#Totals],[総数／事業所数]]</f>
        <v>1.6851227732306211E-3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113</v>
      </c>
      <c r="C24" s="12">
        <v>559</v>
      </c>
      <c r="D24" s="8">
        <v>13.46</v>
      </c>
      <c r="E24" s="12">
        <v>511</v>
      </c>
      <c r="F24" s="8">
        <v>23.13</v>
      </c>
      <c r="G24" s="12">
        <v>48</v>
      </c>
      <c r="H24" s="8">
        <v>2.4900000000000002</v>
      </c>
      <c r="I24" s="12">
        <v>0</v>
      </c>
    </row>
    <row r="25" spans="2:9" ht="15" customHeight="1" x14ac:dyDescent="0.2">
      <c r="B25" t="s">
        <v>110</v>
      </c>
      <c r="C25" s="12">
        <v>453</v>
      </c>
      <c r="D25" s="8">
        <v>10.91</v>
      </c>
      <c r="E25" s="12">
        <v>167</v>
      </c>
      <c r="F25" s="8">
        <v>7.56</v>
      </c>
      <c r="G25" s="12">
        <v>286</v>
      </c>
      <c r="H25" s="8">
        <v>14.82</v>
      </c>
      <c r="I25" s="12">
        <v>0</v>
      </c>
    </row>
    <row r="26" spans="2:9" ht="15" customHeight="1" x14ac:dyDescent="0.2">
      <c r="B26" t="s">
        <v>114</v>
      </c>
      <c r="C26" s="12">
        <v>440</v>
      </c>
      <c r="D26" s="8">
        <v>10.59</v>
      </c>
      <c r="E26" s="12">
        <v>397</v>
      </c>
      <c r="F26" s="8">
        <v>17.97</v>
      </c>
      <c r="G26" s="12">
        <v>42</v>
      </c>
      <c r="H26" s="8">
        <v>2.1800000000000002</v>
      </c>
      <c r="I26" s="12">
        <v>1</v>
      </c>
    </row>
    <row r="27" spans="2:9" ht="15" customHeight="1" x14ac:dyDescent="0.2">
      <c r="B27" t="s">
        <v>108</v>
      </c>
      <c r="C27" s="12">
        <v>215</v>
      </c>
      <c r="D27" s="8">
        <v>5.18</v>
      </c>
      <c r="E27" s="12">
        <v>138</v>
      </c>
      <c r="F27" s="8">
        <v>6.25</v>
      </c>
      <c r="G27" s="12">
        <v>77</v>
      </c>
      <c r="H27" s="8">
        <v>3.99</v>
      </c>
      <c r="I27" s="12">
        <v>0</v>
      </c>
    </row>
    <row r="28" spans="2:9" ht="15" customHeight="1" x14ac:dyDescent="0.2">
      <c r="B28" t="s">
        <v>98</v>
      </c>
      <c r="C28" s="12">
        <v>199</v>
      </c>
      <c r="D28" s="8">
        <v>4.79</v>
      </c>
      <c r="E28" s="12">
        <v>38</v>
      </c>
      <c r="F28" s="8">
        <v>1.72</v>
      </c>
      <c r="G28" s="12">
        <v>161</v>
      </c>
      <c r="H28" s="8">
        <v>8.34</v>
      </c>
      <c r="I28" s="12">
        <v>0</v>
      </c>
    </row>
    <row r="29" spans="2:9" ht="15" customHeight="1" x14ac:dyDescent="0.2">
      <c r="B29" t="s">
        <v>99</v>
      </c>
      <c r="C29" s="12">
        <v>189</v>
      </c>
      <c r="D29" s="8">
        <v>4.55</v>
      </c>
      <c r="E29" s="12">
        <v>63</v>
      </c>
      <c r="F29" s="8">
        <v>2.85</v>
      </c>
      <c r="G29" s="12">
        <v>126</v>
      </c>
      <c r="H29" s="8">
        <v>6.53</v>
      </c>
      <c r="I29" s="12">
        <v>0</v>
      </c>
    </row>
    <row r="30" spans="2:9" ht="15" customHeight="1" x14ac:dyDescent="0.2">
      <c r="B30" t="s">
        <v>100</v>
      </c>
      <c r="C30" s="12">
        <v>176</v>
      </c>
      <c r="D30" s="8">
        <v>4.24</v>
      </c>
      <c r="E30" s="12">
        <v>33</v>
      </c>
      <c r="F30" s="8">
        <v>1.49</v>
      </c>
      <c r="G30" s="12">
        <v>143</v>
      </c>
      <c r="H30" s="8">
        <v>7.41</v>
      </c>
      <c r="I30" s="12">
        <v>0</v>
      </c>
    </row>
    <row r="31" spans="2:9" ht="15" customHeight="1" x14ac:dyDescent="0.2">
      <c r="B31" t="s">
        <v>106</v>
      </c>
      <c r="C31" s="12">
        <v>176</v>
      </c>
      <c r="D31" s="8">
        <v>4.24</v>
      </c>
      <c r="E31" s="12">
        <v>128</v>
      </c>
      <c r="F31" s="8">
        <v>5.79</v>
      </c>
      <c r="G31" s="12">
        <v>48</v>
      </c>
      <c r="H31" s="8">
        <v>2.4900000000000002</v>
      </c>
      <c r="I31" s="12">
        <v>0</v>
      </c>
    </row>
    <row r="32" spans="2:9" ht="15" customHeight="1" x14ac:dyDescent="0.2">
      <c r="B32" t="s">
        <v>116</v>
      </c>
      <c r="C32" s="12">
        <v>168</v>
      </c>
      <c r="D32" s="8">
        <v>4.04</v>
      </c>
      <c r="E32" s="12">
        <v>139</v>
      </c>
      <c r="F32" s="8">
        <v>6.29</v>
      </c>
      <c r="G32" s="12">
        <v>28</v>
      </c>
      <c r="H32" s="8">
        <v>1.45</v>
      </c>
      <c r="I32" s="12">
        <v>1</v>
      </c>
    </row>
    <row r="33" spans="2:9" ht="15" customHeight="1" x14ac:dyDescent="0.2">
      <c r="B33" t="s">
        <v>115</v>
      </c>
      <c r="C33" s="12">
        <v>138</v>
      </c>
      <c r="D33" s="8">
        <v>3.32</v>
      </c>
      <c r="E33" s="12">
        <v>101</v>
      </c>
      <c r="F33" s="8">
        <v>4.57</v>
      </c>
      <c r="G33" s="12">
        <v>35</v>
      </c>
      <c r="H33" s="8">
        <v>1.81</v>
      </c>
      <c r="I33" s="12">
        <v>1</v>
      </c>
    </row>
    <row r="34" spans="2:9" ht="15" customHeight="1" x14ac:dyDescent="0.2">
      <c r="B34" t="s">
        <v>107</v>
      </c>
      <c r="C34" s="12">
        <v>124</v>
      </c>
      <c r="D34" s="8">
        <v>2.99</v>
      </c>
      <c r="E34" s="12">
        <v>78</v>
      </c>
      <c r="F34" s="8">
        <v>3.53</v>
      </c>
      <c r="G34" s="12">
        <v>46</v>
      </c>
      <c r="H34" s="8">
        <v>2.38</v>
      </c>
      <c r="I34" s="12">
        <v>0</v>
      </c>
    </row>
    <row r="35" spans="2:9" ht="15" customHeight="1" x14ac:dyDescent="0.2">
      <c r="B35" t="s">
        <v>105</v>
      </c>
      <c r="C35" s="12">
        <v>91</v>
      </c>
      <c r="D35" s="8">
        <v>2.19</v>
      </c>
      <c r="E35" s="12">
        <v>65</v>
      </c>
      <c r="F35" s="8">
        <v>2.94</v>
      </c>
      <c r="G35" s="12">
        <v>26</v>
      </c>
      <c r="H35" s="8">
        <v>1.35</v>
      </c>
      <c r="I35" s="12">
        <v>0</v>
      </c>
    </row>
    <row r="36" spans="2:9" ht="15" customHeight="1" x14ac:dyDescent="0.2">
      <c r="B36" t="s">
        <v>117</v>
      </c>
      <c r="C36" s="12">
        <v>88</v>
      </c>
      <c r="D36" s="8">
        <v>2.12</v>
      </c>
      <c r="E36" s="12">
        <v>2</v>
      </c>
      <c r="F36" s="8">
        <v>0.09</v>
      </c>
      <c r="G36" s="12">
        <v>81</v>
      </c>
      <c r="H36" s="8">
        <v>4.2</v>
      </c>
      <c r="I36" s="12">
        <v>0</v>
      </c>
    </row>
    <row r="37" spans="2:9" ht="15" customHeight="1" x14ac:dyDescent="0.2">
      <c r="B37" t="s">
        <v>109</v>
      </c>
      <c r="C37" s="12">
        <v>86</v>
      </c>
      <c r="D37" s="8">
        <v>2.0699999999999998</v>
      </c>
      <c r="E37" s="12">
        <v>17</v>
      </c>
      <c r="F37" s="8">
        <v>0.77</v>
      </c>
      <c r="G37" s="12">
        <v>69</v>
      </c>
      <c r="H37" s="8">
        <v>3.58</v>
      </c>
      <c r="I37" s="12">
        <v>0</v>
      </c>
    </row>
    <row r="38" spans="2:9" ht="15" customHeight="1" x14ac:dyDescent="0.2">
      <c r="B38" t="s">
        <v>112</v>
      </c>
      <c r="C38" s="12">
        <v>77</v>
      </c>
      <c r="D38" s="8">
        <v>1.85</v>
      </c>
      <c r="E38" s="12">
        <v>38</v>
      </c>
      <c r="F38" s="8">
        <v>1.72</v>
      </c>
      <c r="G38" s="12">
        <v>39</v>
      </c>
      <c r="H38" s="8">
        <v>2.02</v>
      </c>
      <c r="I38" s="12">
        <v>0</v>
      </c>
    </row>
    <row r="39" spans="2:9" ht="15" customHeight="1" x14ac:dyDescent="0.2">
      <c r="B39" t="s">
        <v>111</v>
      </c>
      <c r="C39" s="12">
        <v>73</v>
      </c>
      <c r="D39" s="8">
        <v>1.76</v>
      </c>
      <c r="E39" s="12">
        <v>45</v>
      </c>
      <c r="F39" s="8">
        <v>2.04</v>
      </c>
      <c r="G39" s="12">
        <v>28</v>
      </c>
      <c r="H39" s="8">
        <v>1.45</v>
      </c>
      <c r="I39" s="12">
        <v>0</v>
      </c>
    </row>
    <row r="40" spans="2:9" ht="15" customHeight="1" x14ac:dyDescent="0.2">
      <c r="B40" t="s">
        <v>130</v>
      </c>
      <c r="C40" s="12">
        <v>69</v>
      </c>
      <c r="D40" s="8">
        <v>1.66</v>
      </c>
      <c r="E40" s="12">
        <v>29</v>
      </c>
      <c r="F40" s="8">
        <v>1.31</v>
      </c>
      <c r="G40" s="12">
        <v>39</v>
      </c>
      <c r="H40" s="8">
        <v>2.02</v>
      </c>
      <c r="I40" s="12">
        <v>1</v>
      </c>
    </row>
    <row r="41" spans="2:9" ht="15" customHeight="1" x14ac:dyDescent="0.2">
      <c r="B41" t="s">
        <v>103</v>
      </c>
      <c r="C41" s="12">
        <v>55</v>
      </c>
      <c r="D41" s="8">
        <v>1.32</v>
      </c>
      <c r="E41" s="12">
        <v>4</v>
      </c>
      <c r="F41" s="8">
        <v>0.18</v>
      </c>
      <c r="G41" s="12">
        <v>51</v>
      </c>
      <c r="H41" s="8">
        <v>2.64</v>
      </c>
      <c r="I41" s="12">
        <v>0</v>
      </c>
    </row>
    <row r="42" spans="2:9" ht="15" customHeight="1" x14ac:dyDescent="0.2">
      <c r="B42" t="s">
        <v>101</v>
      </c>
      <c r="C42" s="12">
        <v>52</v>
      </c>
      <c r="D42" s="8">
        <v>1.25</v>
      </c>
      <c r="E42" s="12">
        <v>19</v>
      </c>
      <c r="F42" s="8">
        <v>0.86</v>
      </c>
      <c r="G42" s="12">
        <v>33</v>
      </c>
      <c r="H42" s="8">
        <v>1.71</v>
      </c>
      <c r="I42" s="12">
        <v>0</v>
      </c>
    </row>
    <row r="43" spans="2:9" ht="15" customHeight="1" x14ac:dyDescent="0.2">
      <c r="B43" t="s">
        <v>127</v>
      </c>
      <c r="C43" s="12">
        <v>51</v>
      </c>
      <c r="D43" s="8">
        <v>1.23</v>
      </c>
      <c r="E43" s="12">
        <v>11</v>
      </c>
      <c r="F43" s="8">
        <v>0.5</v>
      </c>
      <c r="G43" s="12">
        <v>40</v>
      </c>
      <c r="H43" s="8">
        <v>2.0699999999999998</v>
      </c>
      <c r="I43" s="12">
        <v>0</v>
      </c>
    </row>
    <row r="46" spans="2:9" ht="33" customHeight="1" x14ac:dyDescent="0.2">
      <c r="B46" t="s">
        <v>273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169</v>
      </c>
      <c r="C47" s="12">
        <v>214</v>
      </c>
      <c r="D47" s="8">
        <v>5.15</v>
      </c>
      <c r="E47" s="12">
        <v>198</v>
      </c>
      <c r="F47" s="8">
        <v>8.9600000000000009</v>
      </c>
      <c r="G47" s="12">
        <v>16</v>
      </c>
      <c r="H47" s="8">
        <v>0.83</v>
      </c>
      <c r="I47" s="12">
        <v>0</v>
      </c>
    </row>
    <row r="48" spans="2:9" ht="15" customHeight="1" x14ac:dyDescent="0.2">
      <c r="B48" t="s">
        <v>160</v>
      </c>
      <c r="C48" s="12">
        <v>204</v>
      </c>
      <c r="D48" s="8">
        <v>4.91</v>
      </c>
      <c r="E48" s="12">
        <v>76</v>
      </c>
      <c r="F48" s="8">
        <v>3.44</v>
      </c>
      <c r="G48" s="12">
        <v>128</v>
      </c>
      <c r="H48" s="8">
        <v>6.63</v>
      </c>
      <c r="I48" s="12">
        <v>0</v>
      </c>
    </row>
    <row r="49" spans="2:9" ht="15" customHeight="1" x14ac:dyDescent="0.2">
      <c r="B49" t="s">
        <v>165</v>
      </c>
      <c r="C49" s="12">
        <v>146</v>
      </c>
      <c r="D49" s="8">
        <v>3.51</v>
      </c>
      <c r="E49" s="12">
        <v>143</v>
      </c>
      <c r="F49" s="8">
        <v>6.47</v>
      </c>
      <c r="G49" s="12">
        <v>3</v>
      </c>
      <c r="H49" s="8">
        <v>0.16</v>
      </c>
      <c r="I49" s="12">
        <v>0</v>
      </c>
    </row>
    <row r="50" spans="2:9" ht="15" customHeight="1" x14ac:dyDescent="0.2">
      <c r="B50" t="s">
        <v>168</v>
      </c>
      <c r="C50" s="12">
        <v>145</v>
      </c>
      <c r="D50" s="8">
        <v>3.49</v>
      </c>
      <c r="E50" s="12">
        <v>144</v>
      </c>
      <c r="F50" s="8">
        <v>6.52</v>
      </c>
      <c r="G50" s="12">
        <v>1</v>
      </c>
      <c r="H50" s="8">
        <v>0.05</v>
      </c>
      <c r="I50" s="12">
        <v>0</v>
      </c>
    </row>
    <row r="51" spans="2:9" ht="15" customHeight="1" x14ac:dyDescent="0.2">
      <c r="B51" t="s">
        <v>167</v>
      </c>
      <c r="C51" s="12">
        <v>144</v>
      </c>
      <c r="D51" s="8">
        <v>3.47</v>
      </c>
      <c r="E51" s="12">
        <v>136</v>
      </c>
      <c r="F51" s="8">
        <v>6.16</v>
      </c>
      <c r="G51" s="12">
        <v>8</v>
      </c>
      <c r="H51" s="8">
        <v>0.41</v>
      </c>
      <c r="I51" s="12">
        <v>0</v>
      </c>
    </row>
    <row r="52" spans="2:9" ht="15" customHeight="1" x14ac:dyDescent="0.2">
      <c r="B52" t="s">
        <v>171</v>
      </c>
      <c r="C52" s="12">
        <v>122</v>
      </c>
      <c r="D52" s="8">
        <v>2.94</v>
      </c>
      <c r="E52" s="12">
        <v>104</v>
      </c>
      <c r="F52" s="8">
        <v>4.71</v>
      </c>
      <c r="G52" s="12">
        <v>17</v>
      </c>
      <c r="H52" s="8">
        <v>0.88</v>
      </c>
      <c r="I52" s="12">
        <v>1</v>
      </c>
    </row>
    <row r="53" spans="2:9" ht="15" customHeight="1" x14ac:dyDescent="0.2">
      <c r="B53" t="s">
        <v>159</v>
      </c>
      <c r="C53" s="12">
        <v>103</v>
      </c>
      <c r="D53" s="8">
        <v>2.48</v>
      </c>
      <c r="E53" s="12">
        <v>17</v>
      </c>
      <c r="F53" s="8">
        <v>0.77</v>
      </c>
      <c r="G53" s="12">
        <v>86</v>
      </c>
      <c r="H53" s="8">
        <v>4.46</v>
      </c>
      <c r="I53" s="12">
        <v>0</v>
      </c>
    </row>
    <row r="54" spans="2:9" ht="15" customHeight="1" x14ac:dyDescent="0.2">
      <c r="B54" t="s">
        <v>164</v>
      </c>
      <c r="C54" s="12">
        <v>101</v>
      </c>
      <c r="D54" s="8">
        <v>2.4300000000000002</v>
      </c>
      <c r="E54" s="12">
        <v>86</v>
      </c>
      <c r="F54" s="8">
        <v>3.89</v>
      </c>
      <c r="G54" s="12">
        <v>15</v>
      </c>
      <c r="H54" s="8">
        <v>0.78</v>
      </c>
      <c r="I54" s="12">
        <v>0</v>
      </c>
    </row>
    <row r="55" spans="2:9" ht="15" customHeight="1" x14ac:dyDescent="0.2">
      <c r="B55" t="s">
        <v>161</v>
      </c>
      <c r="C55" s="12">
        <v>88</v>
      </c>
      <c r="D55" s="8">
        <v>2.12</v>
      </c>
      <c r="E55" s="12">
        <v>72</v>
      </c>
      <c r="F55" s="8">
        <v>3.26</v>
      </c>
      <c r="G55" s="12">
        <v>16</v>
      </c>
      <c r="H55" s="8">
        <v>0.83</v>
      </c>
      <c r="I55" s="12">
        <v>0</v>
      </c>
    </row>
    <row r="56" spans="2:9" ht="15" customHeight="1" x14ac:dyDescent="0.2">
      <c r="B56" t="s">
        <v>170</v>
      </c>
      <c r="C56" s="12">
        <v>80</v>
      </c>
      <c r="D56" s="8">
        <v>1.93</v>
      </c>
      <c r="E56" s="12">
        <v>63</v>
      </c>
      <c r="F56" s="8">
        <v>2.85</v>
      </c>
      <c r="G56" s="12">
        <v>16</v>
      </c>
      <c r="H56" s="8">
        <v>0.83</v>
      </c>
      <c r="I56" s="12">
        <v>1</v>
      </c>
    </row>
    <row r="57" spans="2:9" ht="15" customHeight="1" x14ac:dyDescent="0.2">
      <c r="B57" t="s">
        <v>157</v>
      </c>
      <c r="C57" s="12">
        <v>78</v>
      </c>
      <c r="D57" s="8">
        <v>1.88</v>
      </c>
      <c r="E57" s="12">
        <v>63</v>
      </c>
      <c r="F57" s="8">
        <v>2.85</v>
      </c>
      <c r="G57" s="12">
        <v>15</v>
      </c>
      <c r="H57" s="8">
        <v>0.78</v>
      </c>
      <c r="I57" s="12">
        <v>0</v>
      </c>
    </row>
    <row r="58" spans="2:9" ht="15" customHeight="1" x14ac:dyDescent="0.2">
      <c r="B58" t="s">
        <v>153</v>
      </c>
      <c r="C58" s="12">
        <v>70</v>
      </c>
      <c r="D58" s="8">
        <v>1.69</v>
      </c>
      <c r="E58" s="12">
        <v>11</v>
      </c>
      <c r="F58" s="8">
        <v>0.5</v>
      </c>
      <c r="G58" s="12">
        <v>59</v>
      </c>
      <c r="H58" s="8">
        <v>3.06</v>
      </c>
      <c r="I58" s="12">
        <v>0</v>
      </c>
    </row>
    <row r="59" spans="2:9" ht="15" customHeight="1" x14ac:dyDescent="0.2">
      <c r="B59" t="s">
        <v>174</v>
      </c>
      <c r="C59" s="12">
        <v>66</v>
      </c>
      <c r="D59" s="8">
        <v>1.59</v>
      </c>
      <c r="E59" s="12">
        <v>19</v>
      </c>
      <c r="F59" s="8">
        <v>0.86</v>
      </c>
      <c r="G59" s="12">
        <v>47</v>
      </c>
      <c r="H59" s="8">
        <v>2.44</v>
      </c>
      <c r="I59" s="12">
        <v>0</v>
      </c>
    </row>
    <row r="60" spans="2:9" ht="15" customHeight="1" x14ac:dyDescent="0.2">
      <c r="B60" t="s">
        <v>156</v>
      </c>
      <c r="C60" s="12">
        <v>62</v>
      </c>
      <c r="D60" s="8">
        <v>1.49</v>
      </c>
      <c r="E60" s="12">
        <v>48</v>
      </c>
      <c r="F60" s="8">
        <v>2.17</v>
      </c>
      <c r="G60" s="12">
        <v>14</v>
      </c>
      <c r="H60" s="8">
        <v>0.73</v>
      </c>
      <c r="I60" s="12">
        <v>0</v>
      </c>
    </row>
    <row r="61" spans="2:9" ht="15" customHeight="1" x14ac:dyDescent="0.2">
      <c r="B61" t="s">
        <v>215</v>
      </c>
      <c r="C61" s="12">
        <v>60</v>
      </c>
      <c r="D61" s="8">
        <v>1.44</v>
      </c>
      <c r="E61" s="12">
        <v>34</v>
      </c>
      <c r="F61" s="8">
        <v>1.54</v>
      </c>
      <c r="G61" s="12">
        <v>26</v>
      </c>
      <c r="H61" s="8">
        <v>1.35</v>
      </c>
      <c r="I61" s="12">
        <v>0</v>
      </c>
    </row>
    <row r="62" spans="2:9" ht="15" customHeight="1" x14ac:dyDescent="0.2">
      <c r="B62" t="s">
        <v>162</v>
      </c>
      <c r="C62" s="12">
        <v>58</v>
      </c>
      <c r="D62" s="8">
        <v>1.4</v>
      </c>
      <c r="E62" s="12">
        <v>2</v>
      </c>
      <c r="F62" s="8">
        <v>0.09</v>
      </c>
      <c r="G62" s="12">
        <v>56</v>
      </c>
      <c r="H62" s="8">
        <v>2.9</v>
      </c>
      <c r="I62" s="12">
        <v>0</v>
      </c>
    </row>
    <row r="63" spans="2:9" ht="15" customHeight="1" x14ac:dyDescent="0.2">
      <c r="B63" t="s">
        <v>152</v>
      </c>
      <c r="C63" s="12">
        <v>56</v>
      </c>
      <c r="D63" s="8">
        <v>1.35</v>
      </c>
      <c r="E63" s="12">
        <v>11</v>
      </c>
      <c r="F63" s="8">
        <v>0.5</v>
      </c>
      <c r="G63" s="12">
        <v>45</v>
      </c>
      <c r="H63" s="8">
        <v>2.33</v>
      </c>
      <c r="I63" s="12">
        <v>0</v>
      </c>
    </row>
    <row r="64" spans="2:9" ht="15" customHeight="1" x14ac:dyDescent="0.2">
      <c r="B64" t="s">
        <v>158</v>
      </c>
      <c r="C64" s="12">
        <v>56</v>
      </c>
      <c r="D64" s="8">
        <v>1.35</v>
      </c>
      <c r="E64" s="12">
        <v>15</v>
      </c>
      <c r="F64" s="8">
        <v>0.68</v>
      </c>
      <c r="G64" s="12">
        <v>41</v>
      </c>
      <c r="H64" s="8">
        <v>2.12</v>
      </c>
      <c r="I64" s="12">
        <v>0</v>
      </c>
    </row>
    <row r="65" spans="2:9" ht="15" customHeight="1" x14ac:dyDescent="0.2">
      <c r="B65" t="s">
        <v>181</v>
      </c>
      <c r="C65" s="12">
        <v>54</v>
      </c>
      <c r="D65" s="8">
        <v>1.3</v>
      </c>
      <c r="E65" s="12">
        <v>43</v>
      </c>
      <c r="F65" s="8">
        <v>1.95</v>
      </c>
      <c r="G65" s="12">
        <v>11</v>
      </c>
      <c r="H65" s="8">
        <v>0.56999999999999995</v>
      </c>
      <c r="I65" s="12">
        <v>0</v>
      </c>
    </row>
    <row r="66" spans="2:9" ht="15" customHeight="1" x14ac:dyDescent="0.2">
      <c r="B66" t="s">
        <v>199</v>
      </c>
      <c r="C66" s="12">
        <v>53</v>
      </c>
      <c r="D66" s="8">
        <v>1.28</v>
      </c>
      <c r="E66" s="12">
        <v>38</v>
      </c>
      <c r="F66" s="8">
        <v>1.72</v>
      </c>
      <c r="G66" s="12">
        <v>15</v>
      </c>
      <c r="H66" s="8">
        <v>0.78</v>
      </c>
      <c r="I66" s="12">
        <v>0</v>
      </c>
    </row>
    <row r="68" spans="2:9" ht="15" customHeight="1" x14ac:dyDescent="0.2">
      <c r="B68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954D0-BA0E-4169-9D25-8DB3C87A9ED3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322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185</v>
      </c>
      <c r="D6" s="8">
        <v>11.34</v>
      </c>
      <c r="E6" s="12">
        <v>47</v>
      </c>
      <c r="F6" s="8">
        <v>5.19</v>
      </c>
      <c r="G6" s="12">
        <v>138</v>
      </c>
      <c r="H6" s="8">
        <v>19.38</v>
      </c>
      <c r="I6" s="12">
        <v>0</v>
      </c>
    </row>
    <row r="7" spans="2:9" ht="15" customHeight="1" x14ac:dyDescent="0.2">
      <c r="B7" t="s">
        <v>77</v>
      </c>
      <c r="C7" s="12">
        <v>147</v>
      </c>
      <c r="D7" s="8">
        <v>9.01</v>
      </c>
      <c r="E7" s="12">
        <v>69</v>
      </c>
      <c r="F7" s="8">
        <v>7.62</v>
      </c>
      <c r="G7" s="12">
        <v>78</v>
      </c>
      <c r="H7" s="8">
        <v>10.96</v>
      </c>
      <c r="I7" s="12">
        <v>0</v>
      </c>
    </row>
    <row r="8" spans="2:9" ht="15" customHeight="1" x14ac:dyDescent="0.2">
      <c r="B8" t="s">
        <v>78</v>
      </c>
      <c r="C8" s="12">
        <v>2</v>
      </c>
      <c r="D8" s="8">
        <v>0.12</v>
      </c>
      <c r="E8" s="12">
        <v>0</v>
      </c>
      <c r="F8" s="8">
        <v>0</v>
      </c>
      <c r="G8" s="12">
        <v>2</v>
      </c>
      <c r="H8" s="8">
        <v>0.28000000000000003</v>
      </c>
      <c r="I8" s="12">
        <v>0</v>
      </c>
    </row>
    <row r="9" spans="2:9" ht="15" customHeight="1" x14ac:dyDescent="0.2">
      <c r="B9" t="s">
        <v>79</v>
      </c>
      <c r="C9" s="12">
        <v>20</v>
      </c>
      <c r="D9" s="8">
        <v>1.23</v>
      </c>
      <c r="E9" s="12">
        <v>2</v>
      </c>
      <c r="F9" s="8">
        <v>0.22</v>
      </c>
      <c r="G9" s="12">
        <v>18</v>
      </c>
      <c r="H9" s="8">
        <v>2.5299999999999998</v>
      </c>
      <c r="I9" s="12">
        <v>0</v>
      </c>
    </row>
    <row r="10" spans="2:9" ht="15" customHeight="1" x14ac:dyDescent="0.2">
      <c r="B10" t="s">
        <v>80</v>
      </c>
      <c r="C10" s="12">
        <v>7</v>
      </c>
      <c r="D10" s="8">
        <v>0.43</v>
      </c>
      <c r="E10" s="12">
        <v>2</v>
      </c>
      <c r="F10" s="8">
        <v>0.22</v>
      </c>
      <c r="G10" s="12">
        <v>4</v>
      </c>
      <c r="H10" s="8">
        <v>0.56000000000000005</v>
      </c>
      <c r="I10" s="12">
        <v>1</v>
      </c>
    </row>
    <row r="11" spans="2:9" ht="15" customHeight="1" x14ac:dyDescent="0.2">
      <c r="B11" t="s">
        <v>81</v>
      </c>
      <c r="C11" s="12">
        <v>374</v>
      </c>
      <c r="D11" s="8">
        <v>22.93</v>
      </c>
      <c r="E11" s="12">
        <v>218</v>
      </c>
      <c r="F11" s="8">
        <v>24.09</v>
      </c>
      <c r="G11" s="12">
        <v>155</v>
      </c>
      <c r="H11" s="8">
        <v>21.77</v>
      </c>
      <c r="I11" s="12">
        <v>1</v>
      </c>
    </row>
    <row r="12" spans="2:9" ht="15" customHeight="1" x14ac:dyDescent="0.2">
      <c r="B12" t="s">
        <v>82</v>
      </c>
      <c r="C12" s="12">
        <v>4</v>
      </c>
      <c r="D12" s="8">
        <v>0.25</v>
      </c>
      <c r="E12" s="12">
        <v>1</v>
      </c>
      <c r="F12" s="8">
        <v>0.11</v>
      </c>
      <c r="G12" s="12">
        <v>3</v>
      </c>
      <c r="H12" s="8">
        <v>0.42</v>
      </c>
      <c r="I12" s="12">
        <v>0</v>
      </c>
    </row>
    <row r="13" spans="2:9" ht="15" customHeight="1" x14ac:dyDescent="0.2">
      <c r="B13" t="s">
        <v>83</v>
      </c>
      <c r="C13" s="12">
        <v>215</v>
      </c>
      <c r="D13" s="8">
        <v>13.18</v>
      </c>
      <c r="E13" s="12">
        <v>92</v>
      </c>
      <c r="F13" s="8">
        <v>10.17</v>
      </c>
      <c r="G13" s="12">
        <v>123</v>
      </c>
      <c r="H13" s="8">
        <v>17.28</v>
      </c>
      <c r="I13" s="12">
        <v>0</v>
      </c>
    </row>
    <row r="14" spans="2:9" ht="15" customHeight="1" x14ac:dyDescent="0.2">
      <c r="B14" t="s">
        <v>84</v>
      </c>
      <c r="C14" s="12">
        <v>88</v>
      </c>
      <c r="D14" s="8">
        <v>5.4</v>
      </c>
      <c r="E14" s="12">
        <v>41</v>
      </c>
      <c r="F14" s="8">
        <v>4.53</v>
      </c>
      <c r="G14" s="12">
        <v>47</v>
      </c>
      <c r="H14" s="8">
        <v>6.6</v>
      </c>
      <c r="I14" s="12">
        <v>0</v>
      </c>
    </row>
    <row r="15" spans="2:9" ht="15" customHeight="1" x14ac:dyDescent="0.2">
      <c r="B15" t="s">
        <v>85</v>
      </c>
      <c r="C15" s="12">
        <v>143</v>
      </c>
      <c r="D15" s="8">
        <v>8.77</v>
      </c>
      <c r="E15" s="12">
        <v>126</v>
      </c>
      <c r="F15" s="8">
        <v>13.92</v>
      </c>
      <c r="G15" s="12">
        <v>17</v>
      </c>
      <c r="H15" s="8">
        <v>2.39</v>
      </c>
      <c r="I15" s="12">
        <v>0</v>
      </c>
    </row>
    <row r="16" spans="2:9" ht="15" customHeight="1" x14ac:dyDescent="0.2">
      <c r="B16" t="s">
        <v>86</v>
      </c>
      <c r="C16" s="12">
        <v>205</v>
      </c>
      <c r="D16" s="8">
        <v>12.57</v>
      </c>
      <c r="E16" s="12">
        <v>161</v>
      </c>
      <c r="F16" s="8">
        <v>17.79</v>
      </c>
      <c r="G16" s="12">
        <v>44</v>
      </c>
      <c r="H16" s="8">
        <v>6.18</v>
      </c>
      <c r="I16" s="12">
        <v>0</v>
      </c>
    </row>
    <row r="17" spans="2:9" ht="15" customHeight="1" x14ac:dyDescent="0.2">
      <c r="B17" t="s">
        <v>87</v>
      </c>
      <c r="C17" s="12">
        <v>95</v>
      </c>
      <c r="D17" s="8">
        <v>5.82</v>
      </c>
      <c r="E17" s="12">
        <v>70</v>
      </c>
      <c r="F17" s="8">
        <v>7.73</v>
      </c>
      <c r="G17" s="12">
        <v>16</v>
      </c>
      <c r="H17" s="8">
        <v>2.25</v>
      </c>
      <c r="I17" s="12">
        <v>0</v>
      </c>
    </row>
    <row r="18" spans="2:9" ht="15" customHeight="1" x14ac:dyDescent="0.2">
      <c r="B18" t="s">
        <v>88</v>
      </c>
      <c r="C18" s="12">
        <v>97</v>
      </c>
      <c r="D18" s="8">
        <v>5.95</v>
      </c>
      <c r="E18" s="12">
        <v>58</v>
      </c>
      <c r="F18" s="8">
        <v>6.41</v>
      </c>
      <c r="G18" s="12">
        <v>38</v>
      </c>
      <c r="H18" s="8">
        <v>5.34</v>
      </c>
      <c r="I18" s="12">
        <v>0</v>
      </c>
    </row>
    <row r="19" spans="2:9" ht="15" customHeight="1" x14ac:dyDescent="0.2">
      <c r="B19" t="s">
        <v>89</v>
      </c>
      <c r="C19" s="12">
        <v>49</v>
      </c>
      <c r="D19" s="8">
        <v>3</v>
      </c>
      <c r="E19" s="12">
        <v>18</v>
      </c>
      <c r="F19" s="8">
        <v>1.99</v>
      </c>
      <c r="G19" s="12">
        <v>29</v>
      </c>
      <c r="H19" s="8">
        <v>4.07</v>
      </c>
      <c r="I19" s="12">
        <v>1</v>
      </c>
    </row>
    <row r="20" spans="2:9" ht="15" customHeight="1" x14ac:dyDescent="0.2">
      <c r="B20" s="9" t="s">
        <v>271</v>
      </c>
      <c r="C20" s="12">
        <f>SUM(LTBL_27216[総数／事業所数])</f>
        <v>1631</v>
      </c>
      <c r="E20" s="12">
        <f>SUBTOTAL(109,LTBL_27216[個人／事業所数])</f>
        <v>905</v>
      </c>
      <c r="G20" s="12">
        <f>SUBTOTAL(109,LTBL_27216[法人／事業所数])</f>
        <v>712</v>
      </c>
      <c r="I20" s="12">
        <f>SUBTOTAL(109,LTBL_27216[法人以外の団体／事業所数])</f>
        <v>3</v>
      </c>
    </row>
    <row r="21" spans="2:9" ht="15" customHeight="1" x14ac:dyDescent="0.2">
      <c r="E21" s="11">
        <f>LTBL_27216[[#Totals],[個人／事業所数]]/LTBL_27216[[#Totals],[総数／事業所数]]</f>
        <v>0.55487431023911715</v>
      </c>
      <c r="G21" s="11">
        <f>LTBL_27216[[#Totals],[法人／事業所数]]/LTBL_27216[[#Totals],[総数／事業所数]]</f>
        <v>0.43654199877375843</v>
      </c>
      <c r="I21" s="11">
        <f>LTBL_27216[[#Totals],[法人以外の団体／事業所数]]/LTBL_27216[[#Totals],[総数／事業所数]]</f>
        <v>1.8393623543838135E-3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110</v>
      </c>
      <c r="C24" s="12">
        <v>188</v>
      </c>
      <c r="D24" s="8">
        <v>11.53</v>
      </c>
      <c r="E24" s="12">
        <v>88</v>
      </c>
      <c r="F24" s="8">
        <v>9.7200000000000006</v>
      </c>
      <c r="G24" s="12">
        <v>100</v>
      </c>
      <c r="H24" s="8">
        <v>14.04</v>
      </c>
      <c r="I24" s="12">
        <v>0</v>
      </c>
    </row>
    <row r="25" spans="2:9" ht="15" customHeight="1" x14ac:dyDescent="0.2">
      <c r="B25" t="s">
        <v>114</v>
      </c>
      <c r="C25" s="12">
        <v>163</v>
      </c>
      <c r="D25" s="8">
        <v>9.99</v>
      </c>
      <c r="E25" s="12">
        <v>140</v>
      </c>
      <c r="F25" s="8">
        <v>15.47</v>
      </c>
      <c r="G25" s="12">
        <v>23</v>
      </c>
      <c r="H25" s="8">
        <v>3.23</v>
      </c>
      <c r="I25" s="12">
        <v>0</v>
      </c>
    </row>
    <row r="26" spans="2:9" ht="15" customHeight="1" x14ac:dyDescent="0.2">
      <c r="B26" t="s">
        <v>113</v>
      </c>
      <c r="C26" s="12">
        <v>130</v>
      </c>
      <c r="D26" s="8">
        <v>7.97</v>
      </c>
      <c r="E26" s="12">
        <v>124</v>
      </c>
      <c r="F26" s="8">
        <v>13.7</v>
      </c>
      <c r="G26" s="12">
        <v>6</v>
      </c>
      <c r="H26" s="8">
        <v>0.84</v>
      </c>
      <c r="I26" s="12">
        <v>0</v>
      </c>
    </row>
    <row r="27" spans="2:9" ht="15" customHeight="1" x14ac:dyDescent="0.2">
      <c r="B27" t="s">
        <v>108</v>
      </c>
      <c r="C27" s="12">
        <v>112</v>
      </c>
      <c r="D27" s="8">
        <v>6.87</v>
      </c>
      <c r="E27" s="12">
        <v>74</v>
      </c>
      <c r="F27" s="8">
        <v>8.18</v>
      </c>
      <c r="G27" s="12">
        <v>38</v>
      </c>
      <c r="H27" s="8">
        <v>5.34</v>
      </c>
      <c r="I27" s="12">
        <v>0</v>
      </c>
    </row>
    <row r="28" spans="2:9" ht="15" customHeight="1" x14ac:dyDescent="0.2">
      <c r="B28" t="s">
        <v>98</v>
      </c>
      <c r="C28" s="12">
        <v>106</v>
      </c>
      <c r="D28" s="8">
        <v>6.5</v>
      </c>
      <c r="E28" s="12">
        <v>24</v>
      </c>
      <c r="F28" s="8">
        <v>2.65</v>
      </c>
      <c r="G28" s="12">
        <v>82</v>
      </c>
      <c r="H28" s="8">
        <v>11.52</v>
      </c>
      <c r="I28" s="12">
        <v>0</v>
      </c>
    </row>
    <row r="29" spans="2:9" ht="15" customHeight="1" x14ac:dyDescent="0.2">
      <c r="B29" t="s">
        <v>115</v>
      </c>
      <c r="C29" s="12">
        <v>95</v>
      </c>
      <c r="D29" s="8">
        <v>5.82</v>
      </c>
      <c r="E29" s="12">
        <v>70</v>
      </c>
      <c r="F29" s="8">
        <v>7.73</v>
      </c>
      <c r="G29" s="12">
        <v>16</v>
      </c>
      <c r="H29" s="8">
        <v>2.25</v>
      </c>
      <c r="I29" s="12">
        <v>0</v>
      </c>
    </row>
    <row r="30" spans="2:9" ht="15" customHeight="1" x14ac:dyDescent="0.2">
      <c r="B30" t="s">
        <v>106</v>
      </c>
      <c r="C30" s="12">
        <v>74</v>
      </c>
      <c r="D30" s="8">
        <v>4.54</v>
      </c>
      <c r="E30" s="12">
        <v>59</v>
      </c>
      <c r="F30" s="8">
        <v>6.52</v>
      </c>
      <c r="G30" s="12">
        <v>15</v>
      </c>
      <c r="H30" s="8">
        <v>2.11</v>
      </c>
      <c r="I30" s="12">
        <v>0</v>
      </c>
    </row>
    <row r="31" spans="2:9" ht="15" customHeight="1" x14ac:dyDescent="0.2">
      <c r="B31" t="s">
        <v>116</v>
      </c>
      <c r="C31" s="12">
        <v>72</v>
      </c>
      <c r="D31" s="8">
        <v>4.41</v>
      </c>
      <c r="E31" s="12">
        <v>58</v>
      </c>
      <c r="F31" s="8">
        <v>6.41</v>
      </c>
      <c r="G31" s="12">
        <v>14</v>
      </c>
      <c r="H31" s="8">
        <v>1.97</v>
      </c>
      <c r="I31" s="12">
        <v>0</v>
      </c>
    </row>
    <row r="32" spans="2:9" ht="15" customHeight="1" x14ac:dyDescent="0.2">
      <c r="B32" t="s">
        <v>107</v>
      </c>
      <c r="C32" s="12">
        <v>59</v>
      </c>
      <c r="D32" s="8">
        <v>3.62</v>
      </c>
      <c r="E32" s="12">
        <v>37</v>
      </c>
      <c r="F32" s="8">
        <v>4.09</v>
      </c>
      <c r="G32" s="12">
        <v>22</v>
      </c>
      <c r="H32" s="8">
        <v>3.09</v>
      </c>
      <c r="I32" s="12">
        <v>0</v>
      </c>
    </row>
    <row r="33" spans="2:9" ht="15" customHeight="1" x14ac:dyDescent="0.2">
      <c r="B33" t="s">
        <v>111</v>
      </c>
      <c r="C33" s="12">
        <v>54</v>
      </c>
      <c r="D33" s="8">
        <v>3.31</v>
      </c>
      <c r="E33" s="12">
        <v>29</v>
      </c>
      <c r="F33" s="8">
        <v>3.2</v>
      </c>
      <c r="G33" s="12">
        <v>25</v>
      </c>
      <c r="H33" s="8">
        <v>3.51</v>
      </c>
      <c r="I33" s="12">
        <v>0</v>
      </c>
    </row>
    <row r="34" spans="2:9" ht="15" customHeight="1" x14ac:dyDescent="0.2">
      <c r="B34" t="s">
        <v>99</v>
      </c>
      <c r="C34" s="12">
        <v>41</v>
      </c>
      <c r="D34" s="8">
        <v>2.5099999999999998</v>
      </c>
      <c r="E34" s="12">
        <v>16</v>
      </c>
      <c r="F34" s="8">
        <v>1.77</v>
      </c>
      <c r="G34" s="12">
        <v>25</v>
      </c>
      <c r="H34" s="8">
        <v>3.51</v>
      </c>
      <c r="I34" s="12">
        <v>0</v>
      </c>
    </row>
    <row r="35" spans="2:9" ht="15" customHeight="1" x14ac:dyDescent="0.2">
      <c r="B35" t="s">
        <v>100</v>
      </c>
      <c r="C35" s="12">
        <v>38</v>
      </c>
      <c r="D35" s="8">
        <v>2.33</v>
      </c>
      <c r="E35" s="12">
        <v>7</v>
      </c>
      <c r="F35" s="8">
        <v>0.77</v>
      </c>
      <c r="G35" s="12">
        <v>31</v>
      </c>
      <c r="H35" s="8">
        <v>4.3499999999999996</v>
      </c>
      <c r="I35" s="12">
        <v>0</v>
      </c>
    </row>
    <row r="36" spans="2:9" ht="15" customHeight="1" x14ac:dyDescent="0.2">
      <c r="B36" t="s">
        <v>105</v>
      </c>
      <c r="C36" s="12">
        <v>34</v>
      </c>
      <c r="D36" s="8">
        <v>2.08</v>
      </c>
      <c r="E36" s="12">
        <v>21</v>
      </c>
      <c r="F36" s="8">
        <v>2.3199999999999998</v>
      </c>
      <c r="G36" s="12">
        <v>12</v>
      </c>
      <c r="H36" s="8">
        <v>1.69</v>
      </c>
      <c r="I36" s="12">
        <v>1</v>
      </c>
    </row>
    <row r="37" spans="2:9" ht="15" customHeight="1" x14ac:dyDescent="0.2">
      <c r="B37" t="s">
        <v>112</v>
      </c>
      <c r="C37" s="12">
        <v>31</v>
      </c>
      <c r="D37" s="8">
        <v>1.9</v>
      </c>
      <c r="E37" s="12">
        <v>12</v>
      </c>
      <c r="F37" s="8">
        <v>1.33</v>
      </c>
      <c r="G37" s="12">
        <v>19</v>
      </c>
      <c r="H37" s="8">
        <v>2.67</v>
      </c>
      <c r="I37" s="12">
        <v>0</v>
      </c>
    </row>
    <row r="38" spans="2:9" ht="15" customHeight="1" x14ac:dyDescent="0.2">
      <c r="B38" t="s">
        <v>130</v>
      </c>
      <c r="C38" s="12">
        <v>30</v>
      </c>
      <c r="D38" s="8">
        <v>1.84</v>
      </c>
      <c r="E38" s="12">
        <v>13</v>
      </c>
      <c r="F38" s="8">
        <v>1.44</v>
      </c>
      <c r="G38" s="12">
        <v>17</v>
      </c>
      <c r="H38" s="8">
        <v>2.39</v>
      </c>
      <c r="I38" s="12">
        <v>0</v>
      </c>
    </row>
    <row r="39" spans="2:9" ht="15" customHeight="1" x14ac:dyDescent="0.2">
      <c r="B39" t="s">
        <v>117</v>
      </c>
      <c r="C39" s="12">
        <v>25</v>
      </c>
      <c r="D39" s="8">
        <v>1.53</v>
      </c>
      <c r="E39" s="12">
        <v>0</v>
      </c>
      <c r="F39" s="8">
        <v>0</v>
      </c>
      <c r="G39" s="12">
        <v>24</v>
      </c>
      <c r="H39" s="8">
        <v>3.37</v>
      </c>
      <c r="I39" s="12">
        <v>0</v>
      </c>
    </row>
    <row r="40" spans="2:9" ht="15" customHeight="1" x14ac:dyDescent="0.2">
      <c r="B40" t="s">
        <v>104</v>
      </c>
      <c r="C40" s="12">
        <v>23</v>
      </c>
      <c r="D40" s="8">
        <v>1.41</v>
      </c>
      <c r="E40" s="12">
        <v>7</v>
      </c>
      <c r="F40" s="8">
        <v>0.77</v>
      </c>
      <c r="G40" s="12">
        <v>16</v>
      </c>
      <c r="H40" s="8">
        <v>2.25</v>
      </c>
      <c r="I40" s="12">
        <v>0</v>
      </c>
    </row>
    <row r="41" spans="2:9" ht="15" customHeight="1" x14ac:dyDescent="0.2">
      <c r="B41" t="s">
        <v>103</v>
      </c>
      <c r="C41" s="12">
        <v>22</v>
      </c>
      <c r="D41" s="8">
        <v>1.35</v>
      </c>
      <c r="E41" s="12">
        <v>5</v>
      </c>
      <c r="F41" s="8">
        <v>0.55000000000000004</v>
      </c>
      <c r="G41" s="12">
        <v>17</v>
      </c>
      <c r="H41" s="8">
        <v>2.39</v>
      </c>
      <c r="I41" s="12">
        <v>0</v>
      </c>
    </row>
    <row r="42" spans="2:9" ht="15" customHeight="1" x14ac:dyDescent="0.2">
      <c r="B42" t="s">
        <v>109</v>
      </c>
      <c r="C42" s="12">
        <v>21</v>
      </c>
      <c r="D42" s="8">
        <v>1.29</v>
      </c>
      <c r="E42" s="12">
        <v>4</v>
      </c>
      <c r="F42" s="8">
        <v>0.44</v>
      </c>
      <c r="G42" s="12">
        <v>17</v>
      </c>
      <c r="H42" s="8">
        <v>2.39</v>
      </c>
      <c r="I42" s="12">
        <v>0</v>
      </c>
    </row>
    <row r="43" spans="2:9" ht="15" customHeight="1" x14ac:dyDescent="0.2">
      <c r="B43" t="s">
        <v>135</v>
      </c>
      <c r="C43" s="12">
        <v>18</v>
      </c>
      <c r="D43" s="8">
        <v>1.1000000000000001</v>
      </c>
      <c r="E43" s="12">
        <v>4</v>
      </c>
      <c r="F43" s="8">
        <v>0.44</v>
      </c>
      <c r="G43" s="12">
        <v>14</v>
      </c>
      <c r="H43" s="8">
        <v>1.97</v>
      </c>
      <c r="I43" s="12">
        <v>0</v>
      </c>
    </row>
    <row r="44" spans="2:9" ht="15" customHeight="1" x14ac:dyDescent="0.2">
      <c r="B44" t="s">
        <v>143</v>
      </c>
      <c r="C44" s="12">
        <v>18</v>
      </c>
      <c r="D44" s="8">
        <v>1.1000000000000001</v>
      </c>
      <c r="E44" s="12">
        <v>11</v>
      </c>
      <c r="F44" s="8">
        <v>1.22</v>
      </c>
      <c r="G44" s="12">
        <v>7</v>
      </c>
      <c r="H44" s="8">
        <v>0.98</v>
      </c>
      <c r="I44" s="12">
        <v>0</v>
      </c>
    </row>
    <row r="45" spans="2:9" ht="15" customHeight="1" x14ac:dyDescent="0.2">
      <c r="B45" t="s">
        <v>119</v>
      </c>
      <c r="C45" s="12">
        <v>18</v>
      </c>
      <c r="D45" s="8">
        <v>1.1000000000000001</v>
      </c>
      <c r="E45" s="12">
        <v>2</v>
      </c>
      <c r="F45" s="8">
        <v>0.22</v>
      </c>
      <c r="G45" s="12">
        <v>16</v>
      </c>
      <c r="H45" s="8">
        <v>2.25</v>
      </c>
      <c r="I45" s="12">
        <v>0</v>
      </c>
    </row>
    <row r="48" spans="2:9" ht="33" customHeight="1" x14ac:dyDescent="0.2">
      <c r="B48" t="s">
        <v>273</v>
      </c>
      <c r="C48" s="10" t="s">
        <v>91</v>
      </c>
      <c r="D48" s="10" t="s">
        <v>92</v>
      </c>
      <c r="E48" s="10" t="s">
        <v>93</v>
      </c>
      <c r="F48" s="10" t="s">
        <v>94</v>
      </c>
      <c r="G48" s="10" t="s">
        <v>95</v>
      </c>
      <c r="H48" s="10" t="s">
        <v>96</v>
      </c>
      <c r="I48" s="10" t="s">
        <v>97</v>
      </c>
    </row>
    <row r="49" spans="2:9" ht="15" customHeight="1" x14ac:dyDescent="0.2">
      <c r="B49" t="s">
        <v>169</v>
      </c>
      <c r="C49" s="12">
        <v>92</v>
      </c>
      <c r="D49" s="8">
        <v>5.64</v>
      </c>
      <c r="E49" s="12">
        <v>85</v>
      </c>
      <c r="F49" s="8">
        <v>9.39</v>
      </c>
      <c r="G49" s="12">
        <v>7</v>
      </c>
      <c r="H49" s="8">
        <v>0.98</v>
      </c>
      <c r="I49" s="12">
        <v>0</v>
      </c>
    </row>
    <row r="50" spans="2:9" ht="15" customHeight="1" x14ac:dyDescent="0.2">
      <c r="B50" t="s">
        <v>160</v>
      </c>
      <c r="C50" s="12">
        <v>91</v>
      </c>
      <c r="D50" s="8">
        <v>5.58</v>
      </c>
      <c r="E50" s="12">
        <v>45</v>
      </c>
      <c r="F50" s="8">
        <v>4.97</v>
      </c>
      <c r="G50" s="12">
        <v>46</v>
      </c>
      <c r="H50" s="8">
        <v>6.46</v>
      </c>
      <c r="I50" s="12">
        <v>0</v>
      </c>
    </row>
    <row r="51" spans="2:9" ht="15" customHeight="1" x14ac:dyDescent="0.2">
      <c r="B51" t="s">
        <v>170</v>
      </c>
      <c r="C51" s="12">
        <v>56</v>
      </c>
      <c r="D51" s="8">
        <v>3.43</v>
      </c>
      <c r="E51" s="12">
        <v>45</v>
      </c>
      <c r="F51" s="8">
        <v>4.97</v>
      </c>
      <c r="G51" s="12">
        <v>11</v>
      </c>
      <c r="H51" s="8">
        <v>1.54</v>
      </c>
      <c r="I51" s="12">
        <v>0</v>
      </c>
    </row>
    <row r="52" spans="2:9" ht="15" customHeight="1" x14ac:dyDescent="0.2">
      <c r="B52" t="s">
        <v>171</v>
      </c>
      <c r="C52" s="12">
        <v>55</v>
      </c>
      <c r="D52" s="8">
        <v>3.37</v>
      </c>
      <c r="E52" s="12">
        <v>44</v>
      </c>
      <c r="F52" s="8">
        <v>4.8600000000000003</v>
      </c>
      <c r="G52" s="12">
        <v>11</v>
      </c>
      <c r="H52" s="8">
        <v>1.54</v>
      </c>
      <c r="I52" s="12">
        <v>0</v>
      </c>
    </row>
    <row r="53" spans="2:9" ht="15" customHeight="1" x14ac:dyDescent="0.2">
      <c r="B53" t="s">
        <v>161</v>
      </c>
      <c r="C53" s="12">
        <v>53</v>
      </c>
      <c r="D53" s="8">
        <v>3.25</v>
      </c>
      <c r="E53" s="12">
        <v>39</v>
      </c>
      <c r="F53" s="8">
        <v>4.3099999999999996</v>
      </c>
      <c r="G53" s="12">
        <v>14</v>
      </c>
      <c r="H53" s="8">
        <v>1.97</v>
      </c>
      <c r="I53" s="12">
        <v>0</v>
      </c>
    </row>
    <row r="54" spans="2:9" ht="15" customHeight="1" x14ac:dyDescent="0.2">
      <c r="B54" t="s">
        <v>167</v>
      </c>
      <c r="C54" s="12">
        <v>48</v>
      </c>
      <c r="D54" s="8">
        <v>2.94</v>
      </c>
      <c r="E54" s="12">
        <v>47</v>
      </c>
      <c r="F54" s="8">
        <v>5.19</v>
      </c>
      <c r="G54" s="12">
        <v>1</v>
      </c>
      <c r="H54" s="8">
        <v>0.14000000000000001</v>
      </c>
      <c r="I54" s="12">
        <v>0</v>
      </c>
    </row>
    <row r="55" spans="2:9" ht="15" customHeight="1" x14ac:dyDescent="0.2">
      <c r="B55" t="s">
        <v>157</v>
      </c>
      <c r="C55" s="12">
        <v>43</v>
      </c>
      <c r="D55" s="8">
        <v>2.64</v>
      </c>
      <c r="E55" s="12">
        <v>32</v>
      </c>
      <c r="F55" s="8">
        <v>3.54</v>
      </c>
      <c r="G55" s="12">
        <v>11</v>
      </c>
      <c r="H55" s="8">
        <v>1.54</v>
      </c>
      <c r="I55" s="12">
        <v>0</v>
      </c>
    </row>
    <row r="56" spans="2:9" ht="15" customHeight="1" x14ac:dyDescent="0.2">
      <c r="B56" t="s">
        <v>190</v>
      </c>
      <c r="C56" s="12">
        <v>42</v>
      </c>
      <c r="D56" s="8">
        <v>2.58</v>
      </c>
      <c r="E56" s="12">
        <v>8</v>
      </c>
      <c r="F56" s="8">
        <v>0.88</v>
      </c>
      <c r="G56" s="12">
        <v>34</v>
      </c>
      <c r="H56" s="8">
        <v>4.78</v>
      </c>
      <c r="I56" s="12">
        <v>0</v>
      </c>
    </row>
    <row r="57" spans="2:9" ht="15" customHeight="1" x14ac:dyDescent="0.2">
      <c r="B57" t="s">
        <v>215</v>
      </c>
      <c r="C57" s="12">
        <v>33</v>
      </c>
      <c r="D57" s="8">
        <v>2.02</v>
      </c>
      <c r="E57" s="12">
        <v>22</v>
      </c>
      <c r="F57" s="8">
        <v>2.4300000000000002</v>
      </c>
      <c r="G57" s="12">
        <v>11</v>
      </c>
      <c r="H57" s="8">
        <v>1.54</v>
      </c>
      <c r="I57" s="12">
        <v>0</v>
      </c>
    </row>
    <row r="58" spans="2:9" ht="15" customHeight="1" x14ac:dyDescent="0.2">
      <c r="B58" t="s">
        <v>156</v>
      </c>
      <c r="C58" s="12">
        <v>32</v>
      </c>
      <c r="D58" s="8">
        <v>1.96</v>
      </c>
      <c r="E58" s="12">
        <v>24</v>
      </c>
      <c r="F58" s="8">
        <v>2.65</v>
      </c>
      <c r="G58" s="12">
        <v>8</v>
      </c>
      <c r="H58" s="8">
        <v>1.1200000000000001</v>
      </c>
      <c r="I58" s="12">
        <v>0</v>
      </c>
    </row>
    <row r="59" spans="2:9" ht="15" customHeight="1" x14ac:dyDescent="0.2">
      <c r="B59" t="s">
        <v>159</v>
      </c>
      <c r="C59" s="12">
        <v>32</v>
      </c>
      <c r="D59" s="8">
        <v>1.96</v>
      </c>
      <c r="E59" s="12">
        <v>3</v>
      </c>
      <c r="F59" s="8">
        <v>0.33</v>
      </c>
      <c r="G59" s="12">
        <v>29</v>
      </c>
      <c r="H59" s="8">
        <v>4.07</v>
      </c>
      <c r="I59" s="12">
        <v>0</v>
      </c>
    </row>
    <row r="60" spans="2:9" ht="15" customHeight="1" x14ac:dyDescent="0.2">
      <c r="B60" t="s">
        <v>168</v>
      </c>
      <c r="C60" s="12">
        <v>30</v>
      </c>
      <c r="D60" s="8">
        <v>1.84</v>
      </c>
      <c r="E60" s="12">
        <v>29</v>
      </c>
      <c r="F60" s="8">
        <v>3.2</v>
      </c>
      <c r="G60" s="12">
        <v>1</v>
      </c>
      <c r="H60" s="8">
        <v>0.14000000000000001</v>
      </c>
      <c r="I60" s="12">
        <v>0</v>
      </c>
    </row>
    <row r="61" spans="2:9" ht="15" customHeight="1" x14ac:dyDescent="0.2">
      <c r="B61" t="s">
        <v>199</v>
      </c>
      <c r="C61" s="12">
        <v>29</v>
      </c>
      <c r="D61" s="8">
        <v>1.78</v>
      </c>
      <c r="E61" s="12">
        <v>25</v>
      </c>
      <c r="F61" s="8">
        <v>2.76</v>
      </c>
      <c r="G61" s="12">
        <v>4</v>
      </c>
      <c r="H61" s="8">
        <v>0.56000000000000005</v>
      </c>
      <c r="I61" s="12">
        <v>0</v>
      </c>
    </row>
    <row r="62" spans="2:9" ht="15" customHeight="1" x14ac:dyDescent="0.2">
      <c r="B62" t="s">
        <v>196</v>
      </c>
      <c r="C62" s="12">
        <v>28</v>
      </c>
      <c r="D62" s="8">
        <v>1.72</v>
      </c>
      <c r="E62" s="12">
        <v>17</v>
      </c>
      <c r="F62" s="8">
        <v>1.88</v>
      </c>
      <c r="G62" s="12">
        <v>11</v>
      </c>
      <c r="H62" s="8">
        <v>1.54</v>
      </c>
      <c r="I62" s="12">
        <v>0</v>
      </c>
    </row>
    <row r="63" spans="2:9" ht="15" customHeight="1" x14ac:dyDescent="0.2">
      <c r="B63" t="s">
        <v>152</v>
      </c>
      <c r="C63" s="12">
        <v>24</v>
      </c>
      <c r="D63" s="8">
        <v>1.47</v>
      </c>
      <c r="E63" s="12">
        <v>5</v>
      </c>
      <c r="F63" s="8">
        <v>0.55000000000000004</v>
      </c>
      <c r="G63" s="12">
        <v>19</v>
      </c>
      <c r="H63" s="8">
        <v>2.67</v>
      </c>
      <c r="I63" s="12">
        <v>0</v>
      </c>
    </row>
    <row r="64" spans="2:9" ht="15" customHeight="1" x14ac:dyDescent="0.2">
      <c r="B64" t="s">
        <v>181</v>
      </c>
      <c r="C64" s="12">
        <v>24</v>
      </c>
      <c r="D64" s="8">
        <v>1.47</v>
      </c>
      <c r="E64" s="12">
        <v>21</v>
      </c>
      <c r="F64" s="8">
        <v>2.3199999999999998</v>
      </c>
      <c r="G64" s="12">
        <v>3</v>
      </c>
      <c r="H64" s="8">
        <v>0.42</v>
      </c>
      <c r="I64" s="12">
        <v>0</v>
      </c>
    </row>
    <row r="65" spans="2:9" ht="15" customHeight="1" x14ac:dyDescent="0.2">
      <c r="B65" t="s">
        <v>165</v>
      </c>
      <c r="C65" s="12">
        <v>24</v>
      </c>
      <c r="D65" s="8">
        <v>1.47</v>
      </c>
      <c r="E65" s="12">
        <v>23</v>
      </c>
      <c r="F65" s="8">
        <v>2.54</v>
      </c>
      <c r="G65" s="12">
        <v>1</v>
      </c>
      <c r="H65" s="8">
        <v>0.14000000000000001</v>
      </c>
      <c r="I65" s="12">
        <v>0</v>
      </c>
    </row>
    <row r="66" spans="2:9" ht="15" customHeight="1" x14ac:dyDescent="0.2">
      <c r="B66" t="s">
        <v>153</v>
      </c>
      <c r="C66" s="12">
        <v>23</v>
      </c>
      <c r="D66" s="8">
        <v>1.41</v>
      </c>
      <c r="E66" s="12">
        <v>5</v>
      </c>
      <c r="F66" s="8">
        <v>0.55000000000000004</v>
      </c>
      <c r="G66" s="12">
        <v>18</v>
      </c>
      <c r="H66" s="8">
        <v>2.5299999999999998</v>
      </c>
      <c r="I66" s="12">
        <v>0</v>
      </c>
    </row>
    <row r="67" spans="2:9" ht="15" customHeight="1" x14ac:dyDescent="0.2">
      <c r="B67" t="s">
        <v>155</v>
      </c>
      <c r="C67" s="12">
        <v>23</v>
      </c>
      <c r="D67" s="8">
        <v>1.41</v>
      </c>
      <c r="E67" s="12">
        <v>15</v>
      </c>
      <c r="F67" s="8">
        <v>1.66</v>
      </c>
      <c r="G67" s="12">
        <v>8</v>
      </c>
      <c r="H67" s="8">
        <v>1.1200000000000001</v>
      </c>
      <c r="I67" s="12">
        <v>0</v>
      </c>
    </row>
    <row r="68" spans="2:9" ht="15" customHeight="1" x14ac:dyDescent="0.2">
      <c r="B68" t="s">
        <v>176</v>
      </c>
      <c r="C68" s="12">
        <v>22</v>
      </c>
      <c r="D68" s="8">
        <v>1.35</v>
      </c>
      <c r="E68" s="12">
        <v>13</v>
      </c>
      <c r="F68" s="8">
        <v>1.44</v>
      </c>
      <c r="G68" s="12">
        <v>9</v>
      </c>
      <c r="H68" s="8">
        <v>1.26</v>
      </c>
      <c r="I68" s="12">
        <v>0</v>
      </c>
    </row>
    <row r="70" spans="2:9" ht="15" customHeight="1" x14ac:dyDescent="0.2">
      <c r="B70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32962-FD34-4ED8-8F6E-15E66330C2AC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323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378</v>
      </c>
      <c r="D6" s="8">
        <v>13.51</v>
      </c>
      <c r="E6" s="12">
        <v>92</v>
      </c>
      <c r="F6" s="8">
        <v>6.26</v>
      </c>
      <c r="G6" s="12">
        <v>286</v>
      </c>
      <c r="H6" s="8">
        <v>21.88</v>
      </c>
      <c r="I6" s="12">
        <v>0</v>
      </c>
    </row>
    <row r="7" spans="2:9" ht="15" customHeight="1" x14ac:dyDescent="0.2">
      <c r="B7" t="s">
        <v>77</v>
      </c>
      <c r="C7" s="12">
        <v>485</v>
      </c>
      <c r="D7" s="8">
        <v>17.34</v>
      </c>
      <c r="E7" s="12">
        <v>187</v>
      </c>
      <c r="F7" s="8">
        <v>12.73</v>
      </c>
      <c r="G7" s="12">
        <v>298</v>
      </c>
      <c r="H7" s="8">
        <v>22.8</v>
      </c>
      <c r="I7" s="12">
        <v>0</v>
      </c>
    </row>
    <row r="8" spans="2:9" ht="15" customHeight="1" x14ac:dyDescent="0.2">
      <c r="B8" t="s">
        <v>78</v>
      </c>
      <c r="C8" s="12">
        <v>3</v>
      </c>
      <c r="D8" s="8">
        <v>0.11</v>
      </c>
      <c r="E8" s="12">
        <v>0</v>
      </c>
      <c r="F8" s="8">
        <v>0</v>
      </c>
      <c r="G8" s="12">
        <v>3</v>
      </c>
      <c r="H8" s="8">
        <v>0.23</v>
      </c>
      <c r="I8" s="12">
        <v>0</v>
      </c>
    </row>
    <row r="9" spans="2:9" ht="15" customHeight="1" x14ac:dyDescent="0.2">
      <c r="B9" t="s">
        <v>79</v>
      </c>
      <c r="C9" s="12">
        <v>9</v>
      </c>
      <c r="D9" s="8">
        <v>0.32</v>
      </c>
      <c r="E9" s="12">
        <v>2</v>
      </c>
      <c r="F9" s="8">
        <v>0.14000000000000001</v>
      </c>
      <c r="G9" s="12">
        <v>7</v>
      </c>
      <c r="H9" s="8">
        <v>0.54</v>
      </c>
      <c r="I9" s="12">
        <v>0</v>
      </c>
    </row>
    <row r="10" spans="2:9" ht="15" customHeight="1" x14ac:dyDescent="0.2">
      <c r="B10" t="s">
        <v>80</v>
      </c>
      <c r="C10" s="12">
        <v>16</v>
      </c>
      <c r="D10" s="8">
        <v>0.56999999999999995</v>
      </c>
      <c r="E10" s="12">
        <v>3</v>
      </c>
      <c r="F10" s="8">
        <v>0.2</v>
      </c>
      <c r="G10" s="12">
        <v>13</v>
      </c>
      <c r="H10" s="8">
        <v>0.99</v>
      </c>
      <c r="I10" s="12">
        <v>0</v>
      </c>
    </row>
    <row r="11" spans="2:9" ht="15" customHeight="1" x14ac:dyDescent="0.2">
      <c r="B11" t="s">
        <v>81</v>
      </c>
      <c r="C11" s="12">
        <v>545</v>
      </c>
      <c r="D11" s="8">
        <v>19.489999999999998</v>
      </c>
      <c r="E11" s="12">
        <v>314</v>
      </c>
      <c r="F11" s="8">
        <v>21.38</v>
      </c>
      <c r="G11" s="12">
        <v>230</v>
      </c>
      <c r="H11" s="8">
        <v>17.600000000000001</v>
      </c>
      <c r="I11" s="12">
        <v>1</v>
      </c>
    </row>
    <row r="12" spans="2:9" ht="15" customHeight="1" x14ac:dyDescent="0.2">
      <c r="B12" t="s">
        <v>82</v>
      </c>
      <c r="C12" s="12">
        <v>11</v>
      </c>
      <c r="D12" s="8">
        <v>0.39</v>
      </c>
      <c r="E12" s="12">
        <v>2</v>
      </c>
      <c r="F12" s="8">
        <v>0.14000000000000001</v>
      </c>
      <c r="G12" s="12">
        <v>9</v>
      </c>
      <c r="H12" s="8">
        <v>0.69</v>
      </c>
      <c r="I12" s="12">
        <v>0</v>
      </c>
    </row>
    <row r="13" spans="2:9" ht="15" customHeight="1" x14ac:dyDescent="0.2">
      <c r="B13" t="s">
        <v>83</v>
      </c>
      <c r="C13" s="12">
        <v>388</v>
      </c>
      <c r="D13" s="8">
        <v>13.87</v>
      </c>
      <c r="E13" s="12">
        <v>143</v>
      </c>
      <c r="F13" s="8">
        <v>9.73</v>
      </c>
      <c r="G13" s="12">
        <v>245</v>
      </c>
      <c r="H13" s="8">
        <v>18.75</v>
      </c>
      <c r="I13" s="12">
        <v>0</v>
      </c>
    </row>
    <row r="14" spans="2:9" ht="15" customHeight="1" x14ac:dyDescent="0.2">
      <c r="B14" t="s">
        <v>84</v>
      </c>
      <c r="C14" s="12">
        <v>81</v>
      </c>
      <c r="D14" s="8">
        <v>2.9</v>
      </c>
      <c r="E14" s="12">
        <v>42</v>
      </c>
      <c r="F14" s="8">
        <v>2.86</v>
      </c>
      <c r="G14" s="12">
        <v>38</v>
      </c>
      <c r="H14" s="8">
        <v>2.91</v>
      </c>
      <c r="I14" s="12">
        <v>0</v>
      </c>
    </row>
    <row r="15" spans="2:9" ht="15" customHeight="1" x14ac:dyDescent="0.2">
      <c r="B15" t="s">
        <v>85</v>
      </c>
      <c r="C15" s="12">
        <v>297</v>
      </c>
      <c r="D15" s="8">
        <v>10.62</v>
      </c>
      <c r="E15" s="12">
        <v>267</v>
      </c>
      <c r="F15" s="8">
        <v>18.18</v>
      </c>
      <c r="G15" s="12">
        <v>30</v>
      </c>
      <c r="H15" s="8">
        <v>2.2999999999999998</v>
      </c>
      <c r="I15" s="12">
        <v>0</v>
      </c>
    </row>
    <row r="16" spans="2:9" ht="15" customHeight="1" x14ac:dyDescent="0.2">
      <c r="B16" t="s">
        <v>86</v>
      </c>
      <c r="C16" s="12">
        <v>262</v>
      </c>
      <c r="D16" s="8">
        <v>9.3699999999999992</v>
      </c>
      <c r="E16" s="12">
        <v>228</v>
      </c>
      <c r="F16" s="8">
        <v>15.52</v>
      </c>
      <c r="G16" s="12">
        <v>34</v>
      </c>
      <c r="H16" s="8">
        <v>2.6</v>
      </c>
      <c r="I16" s="12">
        <v>0</v>
      </c>
    </row>
    <row r="17" spans="2:9" ht="15" customHeight="1" x14ac:dyDescent="0.2">
      <c r="B17" t="s">
        <v>87</v>
      </c>
      <c r="C17" s="12">
        <v>82</v>
      </c>
      <c r="D17" s="8">
        <v>2.93</v>
      </c>
      <c r="E17" s="12">
        <v>54</v>
      </c>
      <c r="F17" s="8">
        <v>3.68</v>
      </c>
      <c r="G17" s="12">
        <v>23</v>
      </c>
      <c r="H17" s="8">
        <v>1.76</v>
      </c>
      <c r="I17" s="12">
        <v>0</v>
      </c>
    </row>
    <row r="18" spans="2:9" ht="15" customHeight="1" x14ac:dyDescent="0.2">
      <c r="B18" t="s">
        <v>88</v>
      </c>
      <c r="C18" s="12">
        <v>150</v>
      </c>
      <c r="D18" s="8">
        <v>5.36</v>
      </c>
      <c r="E18" s="12">
        <v>85</v>
      </c>
      <c r="F18" s="8">
        <v>5.79</v>
      </c>
      <c r="G18" s="12">
        <v>52</v>
      </c>
      <c r="H18" s="8">
        <v>3.98</v>
      </c>
      <c r="I18" s="12">
        <v>0</v>
      </c>
    </row>
    <row r="19" spans="2:9" ht="15" customHeight="1" x14ac:dyDescent="0.2">
      <c r="B19" t="s">
        <v>89</v>
      </c>
      <c r="C19" s="12">
        <v>90</v>
      </c>
      <c r="D19" s="8">
        <v>3.22</v>
      </c>
      <c r="E19" s="12">
        <v>50</v>
      </c>
      <c r="F19" s="8">
        <v>3.4</v>
      </c>
      <c r="G19" s="12">
        <v>39</v>
      </c>
      <c r="H19" s="8">
        <v>2.98</v>
      </c>
      <c r="I19" s="12">
        <v>0</v>
      </c>
    </row>
    <row r="20" spans="2:9" ht="15" customHeight="1" x14ac:dyDescent="0.2">
      <c r="B20" s="9" t="s">
        <v>271</v>
      </c>
      <c r="C20" s="12">
        <f>SUM(LTBL_27217[総数／事業所数])</f>
        <v>2797</v>
      </c>
      <c r="E20" s="12">
        <f>SUBTOTAL(109,LTBL_27217[個人／事業所数])</f>
        <v>1469</v>
      </c>
      <c r="G20" s="12">
        <f>SUBTOTAL(109,LTBL_27217[法人／事業所数])</f>
        <v>1307</v>
      </c>
      <c r="I20" s="12">
        <f>SUBTOTAL(109,LTBL_27217[法人以外の団体／事業所数])</f>
        <v>1</v>
      </c>
    </row>
    <row r="21" spans="2:9" ht="15" customHeight="1" x14ac:dyDescent="0.2">
      <c r="E21" s="11">
        <f>LTBL_27217[[#Totals],[個人／事業所数]]/LTBL_27217[[#Totals],[総数／事業所数]]</f>
        <v>0.5252055774043618</v>
      </c>
      <c r="G21" s="11">
        <f>LTBL_27217[[#Totals],[法人／事業所数]]/LTBL_27217[[#Totals],[総数／事業所数]]</f>
        <v>0.46728637826242403</v>
      </c>
      <c r="I21" s="11">
        <f>LTBL_27217[[#Totals],[法人以外の団体／事業所数]]/LTBL_27217[[#Totals],[総数／事業所数]]</f>
        <v>3.5752592062924561E-4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110</v>
      </c>
      <c r="C24" s="12">
        <v>337</v>
      </c>
      <c r="D24" s="8">
        <v>12.05</v>
      </c>
      <c r="E24" s="12">
        <v>134</v>
      </c>
      <c r="F24" s="8">
        <v>9.1199999999999992</v>
      </c>
      <c r="G24" s="12">
        <v>203</v>
      </c>
      <c r="H24" s="8">
        <v>15.53</v>
      </c>
      <c r="I24" s="12">
        <v>0</v>
      </c>
    </row>
    <row r="25" spans="2:9" ht="15" customHeight="1" x14ac:dyDescent="0.2">
      <c r="B25" t="s">
        <v>113</v>
      </c>
      <c r="C25" s="12">
        <v>276</v>
      </c>
      <c r="D25" s="8">
        <v>9.8699999999999992</v>
      </c>
      <c r="E25" s="12">
        <v>258</v>
      </c>
      <c r="F25" s="8">
        <v>17.559999999999999</v>
      </c>
      <c r="G25" s="12">
        <v>18</v>
      </c>
      <c r="H25" s="8">
        <v>1.38</v>
      </c>
      <c r="I25" s="12">
        <v>0</v>
      </c>
    </row>
    <row r="26" spans="2:9" ht="15" customHeight="1" x14ac:dyDescent="0.2">
      <c r="B26" t="s">
        <v>114</v>
      </c>
      <c r="C26" s="12">
        <v>212</v>
      </c>
      <c r="D26" s="8">
        <v>7.58</v>
      </c>
      <c r="E26" s="12">
        <v>199</v>
      </c>
      <c r="F26" s="8">
        <v>13.55</v>
      </c>
      <c r="G26" s="12">
        <v>13</v>
      </c>
      <c r="H26" s="8">
        <v>0.99</v>
      </c>
      <c r="I26" s="12">
        <v>0</v>
      </c>
    </row>
    <row r="27" spans="2:9" ht="15" customHeight="1" x14ac:dyDescent="0.2">
      <c r="B27" t="s">
        <v>108</v>
      </c>
      <c r="C27" s="12">
        <v>145</v>
      </c>
      <c r="D27" s="8">
        <v>5.18</v>
      </c>
      <c r="E27" s="12">
        <v>96</v>
      </c>
      <c r="F27" s="8">
        <v>6.54</v>
      </c>
      <c r="G27" s="12">
        <v>49</v>
      </c>
      <c r="H27" s="8">
        <v>3.75</v>
      </c>
      <c r="I27" s="12">
        <v>0</v>
      </c>
    </row>
    <row r="28" spans="2:9" ht="15" customHeight="1" x14ac:dyDescent="0.2">
      <c r="B28" t="s">
        <v>98</v>
      </c>
      <c r="C28" s="12">
        <v>132</v>
      </c>
      <c r="D28" s="8">
        <v>4.72</v>
      </c>
      <c r="E28" s="12">
        <v>30</v>
      </c>
      <c r="F28" s="8">
        <v>2.04</v>
      </c>
      <c r="G28" s="12">
        <v>102</v>
      </c>
      <c r="H28" s="8">
        <v>7.8</v>
      </c>
      <c r="I28" s="12">
        <v>0</v>
      </c>
    </row>
    <row r="29" spans="2:9" ht="15" customHeight="1" x14ac:dyDescent="0.2">
      <c r="B29" t="s">
        <v>99</v>
      </c>
      <c r="C29" s="12">
        <v>132</v>
      </c>
      <c r="D29" s="8">
        <v>4.72</v>
      </c>
      <c r="E29" s="12">
        <v>39</v>
      </c>
      <c r="F29" s="8">
        <v>2.65</v>
      </c>
      <c r="G29" s="12">
        <v>93</v>
      </c>
      <c r="H29" s="8">
        <v>7.12</v>
      </c>
      <c r="I29" s="12">
        <v>0</v>
      </c>
    </row>
    <row r="30" spans="2:9" ht="15" customHeight="1" x14ac:dyDescent="0.2">
      <c r="B30" t="s">
        <v>100</v>
      </c>
      <c r="C30" s="12">
        <v>114</v>
      </c>
      <c r="D30" s="8">
        <v>4.08</v>
      </c>
      <c r="E30" s="12">
        <v>23</v>
      </c>
      <c r="F30" s="8">
        <v>1.57</v>
      </c>
      <c r="G30" s="12">
        <v>91</v>
      </c>
      <c r="H30" s="8">
        <v>6.96</v>
      </c>
      <c r="I30" s="12">
        <v>0</v>
      </c>
    </row>
    <row r="31" spans="2:9" ht="15" customHeight="1" x14ac:dyDescent="0.2">
      <c r="B31" t="s">
        <v>101</v>
      </c>
      <c r="C31" s="12">
        <v>112</v>
      </c>
      <c r="D31" s="8">
        <v>4</v>
      </c>
      <c r="E31" s="12">
        <v>46</v>
      </c>
      <c r="F31" s="8">
        <v>3.13</v>
      </c>
      <c r="G31" s="12">
        <v>66</v>
      </c>
      <c r="H31" s="8">
        <v>5.05</v>
      </c>
      <c r="I31" s="12">
        <v>0</v>
      </c>
    </row>
    <row r="32" spans="2:9" ht="15" customHeight="1" x14ac:dyDescent="0.2">
      <c r="B32" t="s">
        <v>116</v>
      </c>
      <c r="C32" s="12">
        <v>97</v>
      </c>
      <c r="D32" s="8">
        <v>3.47</v>
      </c>
      <c r="E32" s="12">
        <v>85</v>
      </c>
      <c r="F32" s="8">
        <v>5.79</v>
      </c>
      <c r="G32" s="12">
        <v>12</v>
      </c>
      <c r="H32" s="8">
        <v>0.92</v>
      </c>
      <c r="I32" s="12">
        <v>0</v>
      </c>
    </row>
    <row r="33" spans="2:9" ht="15" customHeight="1" x14ac:dyDescent="0.2">
      <c r="B33" t="s">
        <v>107</v>
      </c>
      <c r="C33" s="12">
        <v>95</v>
      </c>
      <c r="D33" s="8">
        <v>3.4</v>
      </c>
      <c r="E33" s="12">
        <v>57</v>
      </c>
      <c r="F33" s="8">
        <v>3.88</v>
      </c>
      <c r="G33" s="12">
        <v>37</v>
      </c>
      <c r="H33" s="8">
        <v>2.83</v>
      </c>
      <c r="I33" s="12">
        <v>1</v>
      </c>
    </row>
    <row r="34" spans="2:9" ht="15" customHeight="1" x14ac:dyDescent="0.2">
      <c r="B34" t="s">
        <v>106</v>
      </c>
      <c r="C34" s="12">
        <v>90</v>
      </c>
      <c r="D34" s="8">
        <v>3.22</v>
      </c>
      <c r="E34" s="12">
        <v>71</v>
      </c>
      <c r="F34" s="8">
        <v>4.83</v>
      </c>
      <c r="G34" s="12">
        <v>19</v>
      </c>
      <c r="H34" s="8">
        <v>1.45</v>
      </c>
      <c r="I34" s="12">
        <v>0</v>
      </c>
    </row>
    <row r="35" spans="2:9" ht="15" customHeight="1" x14ac:dyDescent="0.2">
      <c r="B35" t="s">
        <v>115</v>
      </c>
      <c r="C35" s="12">
        <v>82</v>
      </c>
      <c r="D35" s="8">
        <v>2.93</v>
      </c>
      <c r="E35" s="12">
        <v>54</v>
      </c>
      <c r="F35" s="8">
        <v>3.68</v>
      </c>
      <c r="G35" s="12">
        <v>23</v>
      </c>
      <c r="H35" s="8">
        <v>1.76</v>
      </c>
      <c r="I35" s="12">
        <v>0</v>
      </c>
    </row>
    <row r="36" spans="2:9" ht="15" customHeight="1" x14ac:dyDescent="0.2">
      <c r="B36" t="s">
        <v>117</v>
      </c>
      <c r="C36" s="12">
        <v>53</v>
      </c>
      <c r="D36" s="8">
        <v>1.89</v>
      </c>
      <c r="E36" s="12">
        <v>0</v>
      </c>
      <c r="F36" s="8">
        <v>0</v>
      </c>
      <c r="G36" s="12">
        <v>40</v>
      </c>
      <c r="H36" s="8">
        <v>3.06</v>
      </c>
      <c r="I36" s="12">
        <v>0</v>
      </c>
    </row>
    <row r="37" spans="2:9" ht="15" customHeight="1" x14ac:dyDescent="0.2">
      <c r="B37" t="s">
        <v>134</v>
      </c>
      <c r="C37" s="12">
        <v>45</v>
      </c>
      <c r="D37" s="8">
        <v>1.61</v>
      </c>
      <c r="E37" s="12">
        <v>22</v>
      </c>
      <c r="F37" s="8">
        <v>1.5</v>
      </c>
      <c r="G37" s="12">
        <v>23</v>
      </c>
      <c r="H37" s="8">
        <v>1.76</v>
      </c>
      <c r="I37" s="12">
        <v>0</v>
      </c>
    </row>
    <row r="38" spans="2:9" ht="15" customHeight="1" x14ac:dyDescent="0.2">
      <c r="B38" t="s">
        <v>105</v>
      </c>
      <c r="C38" s="12">
        <v>44</v>
      </c>
      <c r="D38" s="8">
        <v>1.57</v>
      </c>
      <c r="E38" s="12">
        <v>36</v>
      </c>
      <c r="F38" s="8">
        <v>2.4500000000000002</v>
      </c>
      <c r="G38" s="12">
        <v>8</v>
      </c>
      <c r="H38" s="8">
        <v>0.61</v>
      </c>
      <c r="I38" s="12">
        <v>0</v>
      </c>
    </row>
    <row r="39" spans="2:9" ht="15" customHeight="1" x14ac:dyDescent="0.2">
      <c r="B39" t="s">
        <v>109</v>
      </c>
      <c r="C39" s="12">
        <v>44</v>
      </c>
      <c r="D39" s="8">
        <v>1.57</v>
      </c>
      <c r="E39" s="12">
        <v>9</v>
      </c>
      <c r="F39" s="8">
        <v>0.61</v>
      </c>
      <c r="G39" s="12">
        <v>35</v>
      </c>
      <c r="H39" s="8">
        <v>2.68</v>
      </c>
      <c r="I39" s="12">
        <v>0</v>
      </c>
    </row>
    <row r="40" spans="2:9" ht="15" customHeight="1" x14ac:dyDescent="0.2">
      <c r="B40" t="s">
        <v>132</v>
      </c>
      <c r="C40" s="12">
        <v>43</v>
      </c>
      <c r="D40" s="8">
        <v>1.54</v>
      </c>
      <c r="E40" s="12">
        <v>16</v>
      </c>
      <c r="F40" s="8">
        <v>1.0900000000000001</v>
      </c>
      <c r="G40" s="12">
        <v>27</v>
      </c>
      <c r="H40" s="8">
        <v>2.0699999999999998</v>
      </c>
      <c r="I40" s="12">
        <v>0</v>
      </c>
    </row>
    <row r="41" spans="2:9" ht="15" customHeight="1" x14ac:dyDescent="0.2">
      <c r="B41" t="s">
        <v>111</v>
      </c>
      <c r="C41" s="12">
        <v>43</v>
      </c>
      <c r="D41" s="8">
        <v>1.54</v>
      </c>
      <c r="E41" s="12">
        <v>27</v>
      </c>
      <c r="F41" s="8">
        <v>1.84</v>
      </c>
      <c r="G41" s="12">
        <v>16</v>
      </c>
      <c r="H41" s="8">
        <v>1.22</v>
      </c>
      <c r="I41" s="12">
        <v>0</v>
      </c>
    </row>
    <row r="42" spans="2:9" ht="15" customHeight="1" x14ac:dyDescent="0.2">
      <c r="B42" t="s">
        <v>102</v>
      </c>
      <c r="C42" s="12">
        <v>42</v>
      </c>
      <c r="D42" s="8">
        <v>1.5</v>
      </c>
      <c r="E42" s="12">
        <v>14</v>
      </c>
      <c r="F42" s="8">
        <v>0.95</v>
      </c>
      <c r="G42" s="12">
        <v>28</v>
      </c>
      <c r="H42" s="8">
        <v>2.14</v>
      </c>
      <c r="I42" s="12">
        <v>0</v>
      </c>
    </row>
    <row r="43" spans="2:9" ht="15" customHeight="1" x14ac:dyDescent="0.2">
      <c r="B43" t="s">
        <v>142</v>
      </c>
      <c r="C43" s="12">
        <v>39</v>
      </c>
      <c r="D43" s="8">
        <v>1.39</v>
      </c>
      <c r="E43" s="12">
        <v>20</v>
      </c>
      <c r="F43" s="8">
        <v>1.36</v>
      </c>
      <c r="G43" s="12">
        <v>19</v>
      </c>
      <c r="H43" s="8">
        <v>1.45</v>
      </c>
      <c r="I43" s="12">
        <v>0</v>
      </c>
    </row>
    <row r="46" spans="2:9" ht="33" customHeight="1" x14ac:dyDescent="0.2">
      <c r="B46" t="s">
        <v>273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160</v>
      </c>
      <c r="C47" s="12">
        <v>106</v>
      </c>
      <c r="D47" s="8">
        <v>3.79</v>
      </c>
      <c r="E47" s="12">
        <v>36</v>
      </c>
      <c r="F47" s="8">
        <v>2.4500000000000002</v>
      </c>
      <c r="G47" s="12">
        <v>70</v>
      </c>
      <c r="H47" s="8">
        <v>5.36</v>
      </c>
      <c r="I47" s="12">
        <v>0</v>
      </c>
    </row>
    <row r="48" spans="2:9" ht="15" customHeight="1" x14ac:dyDescent="0.2">
      <c r="B48" t="s">
        <v>169</v>
      </c>
      <c r="C48" s="12">
        <v>104</v>
      </c>
      <c r="D48" s="8">
        <v>3.72</v>
      </c>
      <c r="E48" s="12">
        <v>99</v>
      </c>
      <c r="F48" s="8">
        <v>6.74</v>
      </c>
      <c r="G48" s="12">
        <v>5</v>
      </c>
      <c r="H48" s="8">
        <v>0.38</v>
      </c>
      <c r="I48" s="12">
        <v>0</v>
      </c>
    </row>
    <row r="49" spans="2:9" ht="15" customHeight="1" x14ac:dyDescent="0.2">
      <c r="B49" t="s">
        <v>161</v>
      </c>
      <c r="C49" s="12">
        <v>100</v>
      </c>
      <c r="D49" s="8">
        <v>3.58</v>
      </c>
      <c r="E49" s="12">
        <v>84</v>
      </c>
      <c r="F49" s="8">
        <v>5.72</v>
      </c>
      <c r="G49" s="12">
        <v>16</v>
      </c>
      <c r="H49" s="8">
        <v>1.22</v>
      </c>
      <c r="I49" s="12">
        <v>0</v>
      </c>
    </row>
    <row r="50" spans="2:9" ht="15" customHeight="1" x14ac:dyDescent="0.2">
      <c r="B50" t="s">
        <v>159</v>
      </c>
      <c r="C50" s="12">
        <v>94</v>
      </c>
      <c r="D50" s="8">
        <v>3.36</v>
      </c>
      <c r="E50" s="12">
        <v>10</v>
      </c>
      <c r="F50" s="8">
        <v>0.68</v>
      </c>
      <c r="G50" s="12">
        <v>84</v>
      </c>
      <c r="H50" s="8">
        <v>6.43</v>
      </c>
      <c r="I50" s="12">
        <v>0</v>
      </c>
    </row>
    <row r="51" spans="2:9" ht="15" customHeight="1" x14ac:dyDescent="0.2">
      <c r="B51" t="s">
        <v>167</v>
      </c>
      <c r="C51" s="12">
        <v>78</v>
      </c>
      <c r="D51" s="8">
        <v>2.79</v>
      </c>
      <c r="E51" s="12">
        <v>74</v>
      </c>
      <c r="F51" s="8">
        <v>5.04</v>
      </c>
      <c r="G51" s="12">
        <v>4</v>
      </c>
      <c r="H51" s="8">
        <v>0.31</v>
      </c>
      <c r="I51" s="12">
        <v>0</v>
      </c>
    </row>
    <row r="52" spans="2:9" ht="15" customHeight="1" x14ac:dyDescent="0.2">
      <c r="B52" t="s">
        <v>171</v>
      </c>
      <c r="C52" s="12">
        <v>76</v>
      </c>
      <c r="D52" s="8">
        <v>2.72</v>
      </c>
      <c r="E52" s="12">
        <v>71</v>
      </c>
      <c r="F52" s="8">
        <v>4.83</v>
      </c>
      <c r="G52" s="12">
        <v>5</v>
      </c>
      <c r="H52" s="8">
        <v>0.38</v>
      </c>
      <c r="I52" s="12">
        <v>0</v>
      </c>
    </row>
    <row r="53" spans="2:9" ht="15" customHeight="1" x14ac:dyDescent="0.2">
      <c r="B53" t="s">
        <v>165</v>
      </c>
      <c r="C53" s="12">
        <v>64</v>
      </c>
      <c r="D53" s="8">
        <v>2.29</v>
      </c>
      <c r="E53" s="12">
        <v>59</v>
      </c>
      <c r="F53" s="8">
        <v>4.0199999999999996</v>
      </c>
      <c r="G53" s="12">
        <v>5</v>
      </c>
      <c r="H53" s="8">
        <v>0.38</v>
      </c>
      <c r="I53" s="12">
        <v>0</v>
      </c>
    </row>
    <row r="54" spans="2:9" ht="15" customHeight="1" x14ac:dyDescent="0.2">
      <c r="B54" t="s">
        <v>168</v>
      </c>
      <c r="C54" s="12">
        <v>56</v>
      </c>
      <c r="D54" s="8">
        <v>2</v>
      </c>
      <c r="E54" s="12">
        <v>55</v>
      </c>
      <c r="F54" s="8">
        <v>3.74</v>
      </c>
      <c r="G54" s="12">
        <v>1</v>
      </c>
      <c r="H54" s="8">
        <v>0.08</v>
      </c>
      <c r="I54" s="12">
        <v>0</v>
      </c>
    </row>
    <row r="55" spans="2:9" ht="15" customHeight="1" x14ac:dyDescent="0.2">
      <c r="B55" t="s">
        <v>157</v>
      </c>
      <c r="C55" s="12">
        <v>55</v>
      </c>
      <c r="D55" s="8">
        <v>1.97</v>
      </c>
      <c r="E55" s="12">
        <v>35</v>
      </c>
      <c r="F55" s="8">
        <v>2.38</v>
      </c>
      <c r="G55" s="12">
        <v>20</v>
      </c>
      <c r="H55" s="8">
        <v>1.53</v>
      </c>
      <c r="I55" s="12">
        <v>0</v>
      </c>
    </row>
    <row r="56" spans="2:9" ht="15" customHeight="1" x14ac:dyDescent="0.2">
      <c r="B56" t="s">
        <v>215</v>
      </c>
      <c r="C56" s="12">
        <v>51</v>
      </c>
      <c r="D56" s="8">
        <v>1.82</v>
      </c>
      <c r="E56" s="12">
        <v>27</v>
      </c>
      <c r="F56" s="8">
        <v>1.84</v>
      </c>
      <c r="G56" s="12">
        <v>24</v>
      </c>
      <c r="H56" s="8">
        <v>1.84</v>
      </c>
      <c r="I56" s="12">
        <v>0</v>
      </c>
    </row>
    <row r="57" spans="2:9" ht="15" customHeight="1" x14ac:dyDescent="0.2">
      <c r="B57" t="s">
        <v>153</v>
      </c>
      <c r="C57" s="12">
        <v>50</v>
      </c>
      <c r="D57" s="8">
        <v>1.79</v>
      </c>
      <c r="E57" s="12">
        <v>14</v>
      </c>
      <c r="F57" s="8">
        <v>0.95</v>
      </c>
      <c r="G57" s="12">
        <v>36</v>
      </c>
      <c r="H57" s="8">
        <v>2.75</v>
      </c>
      <c r="I57" s="12">
        <v>0</v>
      </c>
    </row>
    <row r="58" spans="2:9" ht="15" customHeight="1" x14ac:dyDescent="0.2">
      <c r="B58" t="s">
        <v>164</v>
      </c>
      <c r="C58" s="12">
        <v>49</v>
      </c>
      <c r="D58" s="8">
        <v>1.75</v>
      </c>
      <c r="E58" s="12">
        <v>47</v>
      </c>
      <c r="F58" s="8">
        <v>3.2</v>
      </c>
      <c r="G58" s="12">
        <v>2</v>
      </c>
      <c r="H58" s="8">
        <v>0.15</v>
      </c>
      <c r="I58" s="12">
        <v>0</v>
      </c>
    </row>
    <row r="59" spans="2:9" ht="15" customHeight="1" x14ac:dyDescent="0.2">
      <c r="B59" t="s">
        <v>170</v>
      </c>
      <c r="C59" s="12">
        <v>49</v>
      </c>
      <c r="D59" s="8">
        <v>1.75</v>
      </c>
      <c r="E59" s="12">
        <v>39</v>
      </c>
      <c r="F59" s="8">
        <v>2.65</v>
      </c>
      <c r="G59" s="12">
        <v>10</v>
      </c>
      <c r="H59" s="8">
        <v>0.77</v>
      </c>
      <c r="I59" s="12">
        <v>0</v>
      </c>
    </row>
    <row r="60" spans="2:9" ht="15" customHeight="1" x14ac:dyDescent="0.2">
      <c r="B60" t="s">
        <v>152</v>
      </c>
      <c r="C60" s="12">
        <v>41</v>
      </c>
      <c r="D60" s="8">
        <v>1.47</v>
      </c>
      <c r="E60" s="12">
        <v>7</v>
      </c>
      <c r="F60" s="8">
        <v>0.48</v>
      </c>
      <c r="G60" s="12">
        <v>34</v>
      </c>
      <c r="H60" s="8">
        <v>2.6</v>
      </c>
      <c r="I60" s="12">
        <v>0</v>
      </c>
    </row>
    <row r="61" spans="2:9" ht="15" customHeight="1" x14ac:dyDescent="0.2">
      <c r="B61" t="s">
        <v>162</v>
      </c>
      <c r="C61" s="12">
        <v>37</v>
      </c>
      <c r="D61" s="8">
        <v>1.32</v>
      </c>
      <c r="E61" s="12">
        <v>4</v>
      </c>
      <c r="F61" s="8">
        <v>0.27</v>
      </c>
      <c r="G61" s="12">
        <v>33</v>
      </c>
      <c r="H61" s="8">
        <v>2.52</v>
      </c>
      <c r="I61" s="12">
        <v>0</v>
      </c>
    </row>
    <row r="62" spans="2:9" ht="15" customHeight="1" x14ac:dyDescent="0.2">
      <c r="B62" t="s">
        <v>210</v>
      </c>
      <c r="C62" s="12">
        <v>35</v>
      </c>
      <c r="D62" s="8">
        <v>1.25</v>
      </c>
      <c r="E62" s="12">
        <v>7</v>
      </c>
      <c r="F62" s="8">
        <v>0.48</v>
      </c>
      <c r="G62" s="12">
        <v>28</v>
      </c>
      <c r="H62" s="8">
        <v>2.14</v>
      </c>
      <c r="I62" s="12">
        <v>0</v>
      </c>
    </row>
    <row r="63" spans="2:9" ht="15" customHeight="1" x14ac:dyDescent="0.2">
      <c r="B63" t="s">
        <v>158</v>
      </c>
      <c r="C63" s="12">
        <v>35</v>
      </c>
      <c r="D63" s="8">
        <v>1.25</v>
      </c>
      <c r="E63" s="12">
        <v>8</v>
      </c>
      <c r="F63" s="8">
        <v>0.54</v>
      </c>
      <c r="G63" s="12">
        <v>27</v>
      </c>
      <c r="H63" s="8">
        <v>2.0699999999999998</v>
      </c>
      <c r="I63" s="12">
        <v>0</v>
      </c>
    </row>
    <row r="64" spans="2:9" ht="15" customHeight="1" x14ac:dyDescent="0.2">
      <c r="B64" t="s">
        <v>190</v>
      </c>
      <c r="C64" s="12">
        <v>34</v>
      </c>
      <c r="D64" s="8">
        <v>1.22</v>
      </c>
      <c r="E64" s="12">
        <v>10</v>
      </c>
      <c r="F64" s="8">
        <v>0.68</v>
      </c>
      <c r="G64" s="12">
        <v>24</v>
      </c>
      <c r="H64" s="8">
        <v>1.84</v>
      </c>
      <c r="I64" s="12">
        <v>0</v>
      </c>
    </row>
    <row r="65" spans="2:9" ht="15" customHeight="1" x14ac:dyDescent="0.2">
      <c r="B65" t="s">
        <v>174</v>
      </c>
      <c r="C65" s="12">
        <v>34</v>
      </c>
      <c r="D65" s="8">
        <v>1.22</v>
      </c>
      <c r="E65" s="12">
        <v>4</v>
      </c>
      <c r="F65" s="8">
        <v>0.27</v>
      </c>
      <c r="G65" s="12">
        <v>30</v>
      </c>
      <c r="H65" s="8">
        <v>2.2999999999999998</v>
      </c>
      <c r="I65" s="12">
        <v>0</v>
      </c>
    </row>
    <row r="66" spans="2:9" ht="15" customHeight="1" x14ac:dyDescent="0.2">
      <c r="B66" t="s">
        <v>192</v>
      </c>
      <c r="C66" s="12">
        <v>34</v>
      </c>
      <c r="D66" s="8">
        <v>1.22</v>
      </c>
      <c r="E66" s="12">
        <v>15</v>
      </c>
      <c r="F66" s="8">
        <v>1.02</v>
      </c>
      <c r="G66" s="12">
        <v>19</v>
      </c>
      <c r="H66" s="8">
        <v>1.45</v>
      </c>
      <c r="I66" s="12">
        <v>0</v>
      </c>
    </row>
    <row r="68" spans="2:9" ht="15" customHeight="1" x14ac:dyDescent="0.2">
      <c r="B68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FAC04-855A-4FC8-9BD1-1B4AF0B6A644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324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307</v>
      </c>
      <c r="D6" s="8">
        <v>12.39</v>
      </c>
      <c r="E6" s="12">
        <v>70</v>
      </c>
      <c r="F6" s="8">
        <v>5.92</v>
      </c>
      <c r="G6" s="12">
        <v>237</v>
      </c>
      <c r="H6" s="8">
        <v>18.37</v>
      </c>
      <c r="I6" s="12">
        <v>0</v>
      </c>
    </row>
    <row r="7" spans="2:9" ht="15" customHeight="1" x14ac:dyDescent="0.2">
      <c r="B7" t="s">
        <v>77</v>
      </c>
      <c r="C7" s="12">
        <v>462</v>
      </c>
      <c r="D7" s="8">
        <v>18.649999999999999</v>
      </c>
      <c r="E7" s="12">
        <v>131</v>
      </c>
      <c r="F7" s="8">
        <v>11.07</v>
      </c>
      <c r="G7" s="12">
        <v>331</v>
      </c>
      <c r="H7" s="8">
        <v>25.66</v>
      </c>
      <c r="I7" s="12">
        <v>0</v>
      </c>
    </row>
    <row r="8" spans="2:9" ht="15" customHeight="1" x14ac:dyDescent="0.2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79</v>
      </c>
      <c r="C9" s="12">
        <v>8</v>
      </c>
      <c r="D9" s="8">
        <v>0.32</v>
      </c>
      <c r="E9" s="12">
        <v>1</v>
      </c>
      <c r="F9" s="8">
        <v>0.08</v>
      </c>
      <c r="G9" s="12">
        <v>7</v>
      </c>
      <c r="H9" s="8">
        <v>0.54</v>
      </c>
      <c r="I9" s="12">
        <v>0</v>
      </c>
    </row>
    <row r="10" spans="2:9" ht="15" customHeight="1" x14ac:dyDescent="0.2">
      <c r="B10" t="s">
        <v>80</v>
      </c>
      <c r="C10" s="12">
        <v>26</v>
      </c>
      <c r="D10" s="8">
        <v>1.05</v>
      </c>
      <c r="E10" s="12">
        <v>3</v>
      </c>
      <c r="F10" s="8">
        <v>0.25</v>
      </c>
      <c r="G10" s="12">
        <v>23</v>
      </c>
      <c r="H10" s="8">
        <v>1.78</v>
      </c>
      <c r="I10" s="12">
        <v>0</v>
      </c>
    </row>
    <row r="11" spans="2:9" ht="15" customHeight="1" x14ac:dyDescent="0.2">
      <c r="B11" t="s">
        <v>81</v>
      </c>
      <c r="C11" s="12">
        <v>432</v>
      </c>
      <c r="D11" s="8">
        <v>17.440000000000001</v>
      </c>
      <c r="E11" s="12">
        <v>208</v>
      </c>
      <c r="F11" s="8">
        <v>17.579999999999998</v>
      </c>
      <c r="G11" s="12">
        <v>224</v>
      </c>
      <c r="H11" s="8">
        <v>17.36</v>
      </c>
      <c r="I11" s="12">
        <v>0</v>
      </c>
    </row>
    <row r="12" spans="2:9" ht="15" customHeight="1" x14ac:dyDescent="0.2">
      <c r="B12" t="s">
        <v>82</v>
      </c>
      <c r="C12" s="12">
        <v>9</v>
      </c>
      <c r="D12" s="8">
        <v>0.36</v>
      </c>
      <c r="E12" s="12">
        <v>1</v>
      </c>
      <c r="F12" s="8">
        <v>0.08</v>
      </c>
      <c r="G12" s="12">
        <v>8</v>
      </c>
      <c r="H12" s="8">
        <v>0.62</v>
      </c>
      <c r="I12" s="12">
        <v>0</v>
      </c>
    </row>
    <row r="13" spans="2:9" ht="15" customHeight="1" x14ac:dyDescent="0.2">
      <c r="B13" t="s">
        <v>83</v>
      </c>
      <c r="C13" s="12">
        <v>478</v>
      </c>
      <c r="D13" s="8">
        <v>19.3</v>
      </c>
      <c r="E13" s="12">
        <v>231</v>
      </c>
      <c r="F13" s="8">
        <v>19.53</v>
      </c>
      <c r="G13" s="12">
        <v>247</v>
      </c>
      <c r="H13" s="8">
        <v>19.149999999999999</v>
      </c>
      <c r="I13" s="12">
        <v>0</v>
      </c>
    </row>
    <row r="14" spans="2:9" ht="15" customHeight="1" x14ac:dyDescent="0.2">
      <c r="B14" t="s">
        <v>84</v>
      </c>
      <c r="C14" s="12">
        <v>60</v>
      </c>
      <c r="D14" s="8">
        <v>2.42</v>
      </c>
      <c r="E14" s="12">
        <v>26</v>
      </c>
      <c r="F14" s="8">
        <v>2.2000000000000002</v>
      </c>
      <c r="G14" s="12">
        <v>33</v>
      </c>
      <c r="H14" s="8">
        <v>2.56</v>
      </c>
      <c r="I14" s="12">
        <v>0</v>
      </c>
    </row>
    <row r="15" spans="2:9" ht="15" customHeight="1" x14ac:dyDescent="0.2">
      <c r="B15" t="s">
        <v>85</v>
      </c>
      <c r="C15" s="12">
        <v>244</v>
      </c>
      <c r="D15" s="8">
        <v>9.85</v>
      </c>
      <c r="E15" s="12">
        <v>217</v>
      </c>
      <c r="F15" s="8">
        <v>18.34</v>
      </c>
      <c r="G15" s="12">
        <v>27</v>
      </c>
      <c r="H15" s="8">
        <v>2.09</v>
      </c>
      <c r="I15" s="12">
        <v>0</v>
      </c>
    </row>
    <row r="16" spans="2:9" ht="15" customHeight="1" x14ac:dyDescent="0.2">
      <c r="B16" t="s">
        <v>86</v>
      </c>
      <c r="C16" s="12">
        <v>230</v>
      </c>
      <c r="D16" s="8">
        <v>9.2899999999999991</v>
      </c>
      <c r="E16" s="12">
        <v>173</v>
      </c>
      <c r="F16" s="8">
        <v>14.62</v>
      </c>
      <c r="G16" s="12">
        <v>56</v>
      </c>
      <c r="H16" s="8">
        <v>4.34</v>
      </c>
      <c r="I16" s="12">
        <v>1</v>
      </c>
    </row>
    <row r="17" spans="2:9" ht="15" customHeight="1" x14ac:dyDescent="0.2">
      <c r="B17" t="s">
        <v>87</v>
      </c>
      <c r="C17" s="12">
        <v>50</v>
      </c>
      <c r="D17" s="8">
        <v>2.02</v>
      </c>
      <c r="E17" s="12">
        <v>30</v>
      </c>
      <c r="F17" s="8">
        <v>2.54</v>
      </c>
      <c r="G17" s="12">
        <v>20</v>
      </c>
      <c r="H17" s="8">
        <v>1.55</v>
      </c>
      <c r="I17" s="12">
        <v>0</v>
      </c>
    </row>
    <row r="18" spans="2:9" ht="15" customHeight="1" x14ac:dyDescent="0.2">
      <c r="B18" t="s">
        <v>88</v>
      </c>
      <c r="C18" s="12">
        <v>106</v>
      </c>
      <c r="D18" s="8">
        <v>4.28</v>
      </c>
      <c r="E18" s="12">
        <v>63</v>
      </c>
      <c r="F18" s="8">
        <v>5.33</v>
      </c>
      <c r="G18" s="12">
        <v>41</v>
      </c>
      <c r="H18" s="8">
        <v>3.18</v>
      </c>
      <c r="I18" s="12">
        <v>0</v>
      </c>
    </row>
    <row r="19" spans="2:9" ht="15" customHeight="1" x14ac:dyDescent="0.2">
      <c r="B19" t="s">
        <v>89</v>
      </c>
      <c r="C19" s="12">
        <v>65</v>
      </c>
      <c r="D19" s="8">
        <v>2.62</v>
      </c>
      <c r="E19" s="12">
        <v>29</v>
      </c>
      <c r="F19" s="8">
        <v>2.4500000000000002</v>
      </c>
      <c r="G19" s="12">
        <v>36</v>
      </c>
      <c r="H19" s="8">
        <v>2.79</v>
      </c>
      <c r="I19" s="12">
        <v>0</v>
      </c>
    </row>
    <row r="20" spans="2:9" ht="15" customHeight="1" x14ac:dyDescent="0.2">
      <c r="B20" s="9" t="s">
        <v>271</v>
      </c>
      <c r="C20" s="12">
        <f>SUM(LTBL_27218[総数／事業所数])</f>
        <v>2477</v>
      </c>
      <c r="E20" s="12">
        <f>SUBTOTAL(109,LTBL_27218[個人／事業所数])</f>
        <v>1183</v>
      </c>
      <c r="G20" s="12">
        <f>SUBTOTAL(109,LTBL_27218[法人／事業所数])</f>
        <v>1290</v>
      </c>
      <c r="I20" s="12">
        <f>SUBTOTAL(109,LTBL_27218[法人以外の団体／事業所数])</f>
        <v>1</v>
      </c>
    </row>
    <row r="21" spans="2:9" ht="15" customHeight="1" x14ac:dyDescent="0.2">
      <c r="E21" s="11">
        <f>LTBL_27218[[#Totals],[個人／事業所数]]/LTBL_27218[[#Totals],[総数／事業所数]]</f>
        <v>0.47759386354461042</v>
      </c>
      <c r="G21" s="11">
        <f>LTBL_27218[[#Totals],[法人／事業所数]]/LTBL_27218[[#Totals],[総数／事業所数]]</f>
        <v>0.52079127977392004</v>
      </c>
      <c r="I21" s="11">
        <f>LTBL_27218[[#Totals],[法人以外の団体／事業所数]]/LTBL_27218[[#Totals],[総数／事業所数]]</f>
        <v>4.0371417036737988E-4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110</v>
      </c>
      <c r="C24" s="12">
        <v>426</v>
      </c>
      <c r="D24" s="8">
        <v>17.2</v>
      </c>
      <c r="E24" s="12">
        <v>225</v>
      </c>
      <c r="F24" s="8">
        <v>19.02</v>
      </c>
      <c r="G24" s="12">
        <v>201</v>
      </c>
      <c r="H24" s="8">
        <v>15.58</v>
      </c>
      <c r="I24" s="12">
        <v>0</v>
      </c>
    </row>
    <row r="25" spans="2:9" ht="15" customHeight="1" x14ac:dyDescent="0.2">
      <c r="B25" t="s">
        <v>113</v>
      </c>
      <c r="C25" s="12">
        <v>227</v>
      </c>
      <c r="D25" s="8">
        <v>9.16</v>
      </c>
      <c r="E25" s="12">
        <v>210</v>
      </c>
      <c r="F25" s="8">
        <v>17.75</v>
      </c>
      <c r="G25" s="12">
        <v>17</v>
      </c>
      <c r="H25" s="8">
        <v>1.32</v>
      </c>
      <c r="I25" s="12">
        <v>0</v>
      </c>
    </row>
    <row r="26" spans="2:9" ht="15" customHeight="1" x14ac:dyDescent="0.2">
      <c r="B26" t="s">
        <v>114</v>
      </c>
      <c r="C26" s="12">
        <v>185</v>
      </c>
      <c r="D26" s="8">
        <v>7.47</v>
      </c>
      <c r="E26" s="12">
        <v>157</v>
      </c>
      <c r="F26" s="8">
        <v>13.27</v>
      </c>
      <c r="G26" s="12">
        <v>28</v>
      </c>
      <c r="H26" s="8">
        <v>2.17</v>
      </c>
      <c r="I26" s="12">
        <v>0</v>
      </c>
    </row>
    <row r="27" spans="2:9" ht="15" customHeight="1" x14ac:dyDescent="0.2">
      <c r="B27" t="s">
        <v>98</v>
      </c>
      <c r="C27" s="12">
        <v>122</v>
      </c>
      <c r="D27" s="8">
        <v>4.93</v>
      </c>
      <c r="E27" s="12">
        <v>23</v>
      </c>
      <c r="F27" s="8">
        <v>1.94</v>
      </c>
      <c r="G27" s="12">
        <v>99</v>
      </c>
      <c r="H27" s="8">
        <v>7.67</v>
      </c>
      <c r="I27" s="12">
        <v>0</v>
      </c>
    </row>
    <row r="28" spans="2:9" ht="15" customHeight="1" x14ac:dyDescent="0.2">
      <c r="B28" t="s">
        <v>108</v>
      </c>
      <c r="C28" s="12">
        <v>120</v>
      </c>
      <c r="D28" s="8">
        <v>4.84</v>
      </c>
      <c r="E28" s="12">
        <v>71</v>
      </c>
      <c r="F28" s="8">
        <v>6</v>
      </c>
      <c r="G28" s="12">
        <v>49</v>
      </c>
      <c r="H28" s="8">
        <v>3.8</v>
      </c>
      <c r="I28" s="12">
        <v>0</v>
      </c>
    </row>
    <row r="29" spans="2:9" ht="15" customHeight="1" x14ac:dyDescent="0.2">
      <c r="B29" t="s">
        <v>101</v>
      </c>
      <c r="C29" s="12">
        <v>117</v>
      </c>
      <c r="D29" s="8">
        <v>4.72</v>
      </c>
      <c r="E29" s="12">
        <v>31</v>
      </c>
      <c r="F29" s="8">
        <v>2.62</v>
      </c>
      <c r="G29" s="12">
        <v>86</v>
      </c>
      <c r="H29" s="8">
        <v>6.67</v>
      </c>
      <c r="I29" s="12">
        <v>0</v>
      </c>
    </row>
    <row r="30" spans="2:9" ht="15" customHeight="1" x14ac:dyDescent="0.2">
      <c r="B30" t="s">
        <v>99</v>
      </c>
      <c r="C30" s="12">
        <v>102</v>
      </c>
      <c r="D30" s="8">
        <v>4.12</v>
      </c>
      <c r="E30" s="12">
        <v>26</v>
      </c>
      <c r="F30" s="8">
        <v>2.2000000000000002</v>
      </c>
      <c r="G30" s="12">
        <v>76</v>
      </c>
      <c r="H30" s="8">
        <v>5.89</v>
      </c>
      <c r="I30" s="12">
        <v>0</v>
      </c>
    </row>
    <row r="31" spans="2:9" ht="15" customHeight="1" x14ac:dyDescent="0.2">
      <c r="B31" t="s">
        <v>100</v>
      </c>
      <c r="C31" s="12">
        <v>83</v>
      </c>
      <c r="D31" s="8">
        <v>3.35</v>
      </c>
      <c r="E31" s="12">
        <v>21</v>
      </c>
      <c r="F31" s="8">
        <v>1.78</v>
      </c>
      <c r="G31" s="12">
        <v>62</v>
      </c>
      <c r="H31" s="8">
        <v>4.8099999999999996</v>
      </c>
      <c r="I31" s="12">
        <v>0</v>
      </c>
    </row>
    <row r="32" spans="2:9" ht="15" customHeight="1" x14ac:dyDescent="0.2">
      <c r="B32" t="s">
        <v>116</v>
      </c>
      <c r="C32" s="12">
        <v>77</v>
      </c>
      <c r="D32" s="8">
        <v>3.11</v>
      </c>
      <c r="E32" s="12">
        <v>63</v>
      </c>
      <c r="F32" s="8">
        <v>5.33</v>
      </c>
      <c r="G32" s="12">
        <v>14</v>
      </c>
      <c r="H32" s="8">
        <v>1.0900000000000001</v>
      </c>
      <c r="I32" s="12">
        <v>0</v>
      </c>
    </row>
    <row r="33" spans="2:9" ht="15" customHeight="1" x14ac:dyDescent="0.2">
      <c r="B33" t="s">
        <v>127</v>
      </c>
      <c r="C33" s="12">
        <v>72</v>
      </c>
      <c r="D33" s="8">
        <v>2.91</v>
      </c>
      <c r="E33" s="12">
        <v>15</v>
      </c>
      <c r="F33" s="8">
        <v>1.27</v>
      </c>
      <c r="G33" s="12">
        <v>57</v>
      </c>
      <c r="H33" s="8">
        <v>4.42</v>
      </c>
      <c r="I33" s="12">
        <v>0</v>
      </c>
    </row>
    <row r="34" spans="2:9" ht="15" customHeight="1" x14ac:dyDescent="0.2">
      <c r="B34" t="s">
        <v>106</v>
      </c>
      <c r="C34" s="12">
        <v>71</v>
      </c>
      <c r="D34" s="8">
        <v>2.87</v>
      </c>
      <c r="E34" s="12">
        <v>48</v>
      </c>
      <c r="F34" s="8">
        <v>4.0599999999999996</v>
      </c>
      <c r="G34" s="12">
        <v>23</v>
      </c>
      <c r="H34" s="8">
        <v>1.78</v>
      </c>
      <c r="I34" s="12">
        <v>0</v>
      </c>
    </row>
    <row r="35" spans="2:9" ht="15" customHeight="1" x14ac:dyDescent="0.2">
      <c r="B35" t="s">
        <v>107</v>
      </c>
      <c r="C35" s="12">
        <v>65</v>
      </c>
      <c r="D35" s="8">
        <v>2.62</v>
      </c>
      <c r="E35" s="12">
        <v>40</v>
      </c>
      <c r="F35" s="8">
        <v>3.38</v>
      </c>
      <c r="G35" s="12">
        <v>25</v>
      </c>
      <c r="H35" s="8">
        <v>1.94</v>
      </c>
      <c r="I35" s="12">
        <v>0</v>
      </c>
    </row>
    <row r="36" spans="2:9" ht="15" customHeight="1" x14ac:dyDescent="0.2">
      <c r="B36" t="s">
        <v>115</v>
      </c>
      <c r="C36" s="12">
        <v>50</v>
      </c>
      <c r="D36" s="8">
        <v>2.02</v>
      </c>
      <c r="E36" s="12">
        <v>30</v>
      </c>
      <c r="F36" s="8">
        <v>2.54</v>
      </c>
      <c r="G36" s="12">
        <v>20</v>
      </c>
      <c r="H36" s="8">
        <v>1.55</v>
      </c>
      <c r="I36" s="12">
        <v>0</v>
      </c>
    </row>
    <row r="37" spans="2:9" ht="15" customHeight="1" x14ac:dyDescent="0.2">
      <c r="B37" t="s">
        <v>126</v>
      </c>
      <c r="C37" s="12">
        <v>45</v>
      </c>
      <c r="D37" s="8">
        <v>1.82</v>
      </c>
      <c r="E37" s="12">
        <v>16</v>
      </c>
      <c r="F37" s="8">
        <v>1.35</v>
      </c>
      <c r="G37" s="12">
        <v>29</v>
      </c>
      <c r="H37" s="8">
        <v>2.25</v>
      </c>
      <c r="I37" s="12">
        <v>0</v>
      </c>
    </row>
    <row r="38" spans="2:9" ht="15" customHeight="1" x14ac:dyDescent="0.2">
      <c r="B38" t="s">
        <v>109</v>
      </c>
      <c r="C38" s="12">
        <v>44</v>
      </c>
      <c r="D38" s="8">
        <v>1.78</v>
      </c>
      <c r="E38" s="12">
        <v>4</v>
      </c>
      <c r="F38" s="8">
        <v>0.34</v>
      </c>
      <c r="G38" s="12">
        <v>40</v>
      </c>
      <c r="H38" s="8">
        <v>3.1</v>
      </c>
      <c r="I38" s="12">
        <v>0</v>
      </c>
    </row>
    <row r="39" spans="2:9" ht="15" customHeight="1" x14ac:dyDescent="0.2">
      <c r="B39" t="s">
        <v>105</v>
      </c>
      <c r="C39" s="12">
        <v>42</v>
      </c>
      <c r="D39" s="8">
        <v>1.7</v>
      </c>
      <c r="E39" s="12">
        <v>17</v>
      </c>
      <c r="F39" s="8">
        <v>1.44</v>
      </c>
      <c r="G39" s="12">
        <v>25</v>
      </c>
      <c r="H39" s="8">
        <v>1.94</v>
      </c>
      <c r="I39" s="12">
        <v>0</v>
      </c>
    </row>
    <row r="40" spans="2:9" ht="15" customHeight="1" x14ac:dyDescent="0.2">
      <c r="B40" t="s">
        <v>102</v>
      </c>
      <c r="C40" s="12">
        <v>39</v>
      </c>
      <c r="D40" s="8">
        <v>1.57</v>
      </c>
      <c r="E40" s="12">
        <v>9</v>
      </c>
      <c r="F40" s="8">
        <v>0.76</v>
      </c>
      <c r="G40" s="12">
        <v>30</v>
      </c>
      <c r="H40" s="8">
        <v>2.33</v>
      </c>
      <c r="I40" s="12">
        <v>0</v>
      </c>
    </row>
    <row r="41" spans="2:9" ht="15" customHeight="1" x14ac:dyDescent="0.2">
      <c r="B41" t="s">
        <v>130</v>
      </c>
      <c r="C41" s="12">
        <v>36</v>
      </c>
      <c r="D41" s="8">
        <v>1.45</v>
      </c>
      <c r="E41" s="12">
        <v>11</v>
      </c>
      <c r="F41" s="8">
        <v>0.93</v>
      </c>
      <c r="G41" s="12">
        <v>24</v>
      </c>
      <c r="H41" s="8">
        <v>1.86</v>
      </c>
      <c r="I41" s="12">
        <v>1</v>
      </c>
    </row>
    <row r="42" spans="2:9" ht="15" customHeight="1" x14ac:dyDescent="0.2">
      <c r="B42" t="s">
        <v>111</v>
      </c>
      <c r="C42" s="12">
        <v>31</v>
      </c>
      <c r="D42" s="8">
        <v>1.25</v>
      </c>
      <c r="E42" s="12">
        <v>15</v>
      </c>
      <c r="F42" s="8">
        <v>1.27</v>
      </c>
      <c r="G42" s="12">
        <v>16</v>
      </c>
      <c r="H42" s="8">
        <v>1.24</v>
      </c>
      <c r="I42" s="12">
        <v>0</v>
      </c>
    </row>
    <row r="43" spans="2:9" ht="15" customHeight="1" x14ac:dyDescent="0.2">
      <c r="B43" t="s">
        <v>129</v>
      </c>
      <c r="C43" s="12">
        <v>30</v>
      </c>
      <c r="D43" s="8">
        <v>1.21</v>
      </c>
      <c r="E43" s="12">
        <v>19</v>
      </c>
      <c r="F43" s="8">
        <v>1.61</v>
      </c>
      <c r="G43" s="12">
        <v>11</v>
      </c>
      <c r="H43" s="8">
        <v>0.85</v>
      </c>
      <c r="I43" s="12">
        <v>0</v>
      </c>
    </row>
    <row r="46" spans="2:9" ht="33" customHeight="1" x14ac:dyDescent="0.2">
      <c r="B46" t="s">
        <v>273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160</v>
      </c>
      <c r="C47" s="12">
        <v>216</v>
      </c>
      <c r="D47" s="8">
        <v>8.7200000000000006</v>
      </c>
      <c r="E47" s="12">
        <v>130</v>
      </c>
      <c r="F47" s="8">
        <v>10.99</v>
      </c>
      <c r="G47" s="12">
        <v>86</v>
      </c>
      <c r="H47" s="8">
        <v>6.67</v>
      </c>
      <c r="I47" s="12">
        <v>0</v>
      </c>
    </row>
    <row r="48" spans="2:9" ht="15" customHeight="1" x14ac:dyDescent="0.2">
      <c r="B48" t="s">
        <v>159</v>
      </c>
      <c r="C48" s="12">
        <v>87</v>
      </c>
      <c r="D48" s="8">
        <v>3.51</v>
      </c>
      <c r="E48" s="12">
        <v>24</v>
      </c>
      <c r="F48" s="8">
        <v>2.0299999999999998</v>
      </c>
      <c r="G48" s="12">
        <v>63</v>
      </c>
      <c r="H48" s="8">
        <v>4.88</v>
      </c>
      <c r="I48" s="12">
        <v>0</v>
      </c>
    </row>
    <row r="49" spans="2:9" ht="15" customHeight="1" x14ac:dyDescent="0.2">
      <c r="B49" t="s">
        <v>169</v>
      </c>
      <c r="C49" s="12">
        <v>84</v>
      </c>
      <c r="D49" s="8">
        <v>3.39</v>
      </c>
      <c r="E49" s="12">
        <v>75</v>
      </c>
      <c r="F49" s="8">
        <v>6.34</v>
      </c>
      <c r="G49" s="12">
        <v>9</v>
      </c>
      <c r="H49" s="8">
        <v>0.7</v>
      </c>
      <c r="I49" s="12">
        <v>0</v>
      </c>
    </row>
    <row r="50" spans="2:9" ht="15" customHeight="1" x14ac:dyDescent="0.2">
      <c r="B50" t="s">
        <v>161</v>
      </c>
      <c r="C50" s="12">
        <v>78</v>
      </c>
      <c r="D50" s="8">
        <v>3.15</v>
      </c>
      <c r="E50" s="12">
        <v>66</v>
      </c>
      <c r="F50" s="8">
        <v>5.58</v>
      </c>
      <c r="G50" s="12">
        <v>12</v>
      </c>
      <c r="H50" s="8">
        <v>0.93</v>
      </c>
      <c r="I50" s="12">
        <v>0</v>
      </c>
    </row>
    <row r="51" spans="2:9" ht="15" customHeight="1" x14ac:dyDescent="0.2">
      <c r="B51" t="s">
        <v>165</v>
      </c>
      <c r="C51" s="12">
        <v>69</v>
      </c>
      <c r="D51" s="8">
        <v>2.79</v>
      </c>
      <c r="E51" s="12">
        <v>68</v>
      </c>
      <c r="F51" s="8">
        <v>5.75</v>
      </c>
      <c r="G51" s="12">
        <v>1</v>
      </c>
      <c r="H51" s="8">
        <v>0.08</v>
      </c>
      <c r="I51" s="12">
        <v>0</v>
      </c>
    </row>
    <row r="52" spans="2:9" ht="15" customHeight="1" x14ac:dyDescent="0.2">
      <c r="B52" t="s">
        <v>168</v>
      </c>
      <c r="C52" s="12">
        <v>63</v>
      </c>
      <c r="D52" s="8">
        <v>2.54</v>
      </c>
      <c r="E52" s="12">
        <v>61</v>
      </c>
      <c r="F52" s="8">
        <v>5.16</v>
      </c>
      <c r="G52" s="12">
        <v>2</v>
      </c>
      <c r="H52" s="8">
        <v>0.16</v>
      </c>
      <c r="I52" s="12">
        <v>0</v>
      </c>
    </row>
    <row r="53" spans="2:9" ht="15" customHeight="1" x14ac:dyDescent="0.2">
      <c r="B53" t="s">
        <v>171</v>
      </c>
      <c r="C53" s="12">
        <v>60</v>
      </c>
      <c r="D53" s="8">
        <v>2.42</v>
      </c>
      <c r="E53" s="12">
        <v>50</v>
      </c>
      <c r="F53" s="8">
        <v>4.2300000000000004</v>
      </c>
      <c r="G53" s="12">
        <v>10</v>
      </c>
      <c r="H53" s="8">
        <v>0.78</v>
      </c>
      <c r="I53" s="12">
        <v>0</v>
      </c>
    </row>
    <row r="54" spans="2:9" ht="15" customHeight="1" x14ac:dyDescent="0.2">
      <c r="B54" t="s">
        <v>167</v>
      </c>
      <c r="C54" s="12">
        <v>52</v>
      </c>
      <c r="D54" s="8">
        <v>2.1</v>
      </c>
      <c r="E54" s="12">
        <v>49</v>
      </c>
      <c r="F54" s="8">
        <v>4.1399999999999997</v>
      </c>
      <c r="G54" s="12">
        <v>3</v>
      </c>
      <c r="H54" s="8">
        <v>0.23</v>
      </c>
      <c r="I54" s="12">
        <v>0</v>
      </c>
    </row>
    <row r="55" spans="2:9" ht="15" customHeight="1" x14ac:dyDescent="0.2">
      <c r="B55" t="s">
        <v>157</v>
      </c>
      <c r="C55" s="12">
        <v>48</v>
      </c>
      <c r="D55" s="8">
        <v>1.94</v>
      </c>
      <c r="E55" s="12">
        <v>34</v>
      </c>
      <c r="F55" s="8">
        <v>2.87</v>
      </c>
      <c r="G55" s="12">
        <v>14</v>
      </c>
      <c r="H55" s="8">
        <v>1.0900000000000001</v>
      </c>
      <c r="I55" s="12">
        <v>0</v>
      </c>
    </row>
    <row r="56" spans="2:9" ht="15" customHeight="1" x14ac:dyDescent="0.2">
      <c r="B56" t="s">
        <v>192</v>
      </c>
      <c r="C56" s="12">
        <v>45</v>
      </c>
      <c r="D56" s="8">
        <v>1.82</v>
      </c>
      <c r="E56" s="12">
        <v>10</v>
      </c>
      <c r="F56" s="8">
        <v>0.85</v>
      </c>
      <c r="G56" s="12">
        <v>35</v>
      </c>
      <c r="H56" s="8">
        <v>2.71</v>
      </c>
      <c r="I56" s="12">
        <v>0</v>
      </c>
    </row>
    <row r="57" spans="2:9" ht="15" customHeight="1" x14ac:dyDescent="0.2">
      <c r="B57" t="s">
        <v>162</v>
      </c>
      <c r="C57" s="12">
        <v>45</v>
      </c>
      <c r="D57" s="8">
        <v>1.82</v>
      </c>
      <c r="E57" s="12">
        <v>5</v>
      </c>
      <c r="F57" s="8">
        <v>0.42</v>
      </c>
      <c r="G57" s="12">
        <v>40</v>
      </c>
      <c r="H57" s="8">
        <v>3.1</v>
      </c>
      <c r="I57" s="12">
        <v>0</v>
      </c>
    </row>
    <row r="58" spans="2:9" ht="15" customHeight="1" x14ac:dyDescent="0.2">
      <c r="B58" t="s">
        <v>152</v>
      </c>
      <c r="C58" s="12">
        <v>41</v>
      </c>
      <c r="D58" s="8">
        <v>1.66</v>
      </c>
      <c r="E58" s="12">
        <v>7</v>
      </c>
      <c r="F58" s="8">
        <v>0.59</v>
      </c>
      <c r="G58" s="12">
        <v>34</v>
      </c>
      <c r="H58" s="8">
        <v>2.64</v>
      </c>
      <c r="I58" s="12">
        <v>0</v>
      </c>
    </row>
    <row r="59" spans="2:9" ht="15" customHeight="1" x14ac:dyDescent="0.2">
      <c r="B59" t="s">
        <v>153</v>
      </c>
      <c r="C59" s="12">
        <v>41</v>
      </c>
      <c r="D59" s="8">
        <v>1.66</v>
      </c>
      <c r="E59" s="12">
        <v>14</v>
      </c>
      <c r="F59" s="8">
        <v>1.18</v>
      </c>
      <c r="G59" s="12">
        <v>27</v>
      </c>
      <c r="H59" s="8">
        <v>2.09</v>
      </c>
      <c r="I59" s="12">
        <v>0</v>
      </c>
    </row>
    <row r="60" spans="2:9" ht="15" customHeight="1" x14ac:dyDescent="0.2">
      <c r="B60" t="s">
        <v>215</v>
      </c>
      <c r="C60" s="12">
        <v>40</v>
      </c>
      <c r="D60" s="8">
        <v>1.61</v>
      </c>
      <c r="E60" s="12">
        <v>25</v>
      </c>
      <c r="F60" s="8">
        <v>2.11</v>
      </c>
      <c r="G60" s="12">
        <v>15</v>
      </c>
      <c r="H60" s="8">
        <v>1.1599999999999999</v>
      </c>
      <c r="I60" s="12">
        <v>0</v>
      </c>
    </row>
    <row r="61" spans="2:9" ht="15" customHeight="1" x14ac:dyDescent="0.2">
      <c r="B61" t="s">
        <v>164</v>
      </c>
      <c r="C61" s="12">
        <v>34</v>
      </c>
      <c r="D61" s="8">
        <v>1.37</v>
      </c>
      <c r="E61" s="12">
        <v>30</v>
      </c>
      <c r="F61" s="8">
        <v>2.54</v>
      </c>
      <c r="G61" s="12">
        <v>4</v>
      </c>
      <c r="H61" s="8">
        <v>0.31</v>
      </c>
      <c r="I61" s="12">
        <v>0</v>
      </c>
    </row>
    <row r="62" spans="2:9" ht="15" customHeight="1" x14ac:dyDescent="0.2">
      <c r="B62" t="s">
        <v>170</v>
      </c>
      <c r="C62" s="12">
        <v>32</v>
      </c>
      <c r="D62" s="8">
        <v>1.29</v>
      </c>
      <c r="E62" s="12">
        <v>20</v>
      </c>
      <c r="F62" s="8">
        <v>1.69</v>
      </c>
      <c r="G62" s="12">
        <v>12</v>
      </c>
      <c r="H62" s="8">
        <v>0.93</v>
      </c>
      <c r="I62" s="12">
        <v>0</v>
      </c>
    </row>
    <row r="63" spans="2:9" ht="15" customHeight="1" x14ac:dyDescent="0.2">
      <c r="B63" t="s">
        <v>158</v>
      </c>
      <c r="C63" s="12">
        <v>31</v>
      </c>
      <c r="D63" s="8">
        <v>1.25</v>
      </c>
      <c r="E63" s="12">
        <v>2</v>
      </c>
      <c r="F63" s="8">
        <v>0.17</v>
      </c>
      <c r="G63" s="12">
        <v>29</v>
      </c>
      <c r="H63" s="8">
        <v>2.25</v>
      </c>
      <c r="I63" s="12">
        <v>0</v>
      </c>
    </row>
    <row r="64" spans="2:9" ht="15" customHeight="1" x14ac:dyDescent="0.2">
      <c r="B64" t="s">
        <v>210</v>
      </c>
      <c r="C64" s="12">
        <v>30</v>
      </c>
      <c r="D64" s="8">
        <v>1.21</v>
      </c>
      <c r="E64" s="12">
        <v>6</v>
      </c>
      <c r="F64" s="8">
        <v>0.51</v>
      </c>
      <c r="G64" s="12">
        <v>24</v>
      </c>
      <c r="H64" s="8">
        <v>1.86</v>
      </c>
      <c r="I64" s="12">
        <v>0</v>
      </c>
    </row>
    <row r="65" spans="2:9" ht="15" customHeight="1" x14ac:dyDescent="0.2">
      <c r="B65" t="s">
        <v>198</v>
      </c>
      <c r="C65" s="12">
        <v>30</v>
      </c>
      <c r="D65" s="8">
        <v>1.21</v>
      </c>
      <c r="E65" s="12">
        <v>19</v>
      </c>
      <c r="F65" s="8">
        <v>1.61</v>
      </c>
      <c r="G65" s="12">
        <v>11</v>
      </c>
      <c r="H65" s="8">
        <v>0.85</v>
      </c>
      <c r="I65" s="12">
        <v>0</v>
      </c>
    </row>
    <row r="66" spans="2:9" ht="15" customHeight="1" x14ac:dyDescent="0.2">
      <c r="B66" t="s">
        <v>156</v>
      </c>
      <c r="C66" s="12">
        <v>29</v>
      </c>
      <c r="D66" s="8">
        <v>1.17</v>
      </c>
      <c r="E66" s="12">
        <v>18</v>
      </c>
      <c r="F66" s="8">
        <v>1.52</v>
      </c>
      <c r="G66" s="12">
        <v>11</v>
      </c>
      <c r="H66" s="8">
        <v>0.85</v>
      </c>
      <c r="I66" s="12">
        <v>0</v>
      </c>
    </row>
    <row r="68" spans="2:9" ht="15" customHeight="1" x14ac:dyDescent="0.2">
      <c r="B68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96DBD-840A-44A6-8366-428ECFDEB045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325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442</v>
      </c>
      <c r="D6" s="8">
        <v>12.94</v>
      </c>
      <c r="E6" s="12">
        <v>119</v>
      </c>
      <c r="F6" s="8">
        <v>6.19</v>
      </c>
      <c r="G6" s="12">
        <v>323</v>
      </c>
      <c r="H6" s="8">
        <v>21.79</v>
      </c>
      <c r="I6" s="12">
        <v>0</v>
      </c>
    </row>
    <row r="7" spans="2:9" ht="15" customHeight="1" x14ac:dyDescent="0.2">
      <c r="B7" t="s">
        <v>77</v>
      </c>
      <c r="C7" s="12">
        <v>464</v>
      </c>
      <c r="D7" s="8">
        <v>13.59</v>
      </c>
      <c r="E7" s="12">
        <v>235</v>
      </c>
      <c r="F7" s="8">
        <v>12.21</v>
      </c>
      <c r="G7" s="12">
        <v>229</v>
      </c>
      <c r="H7" s="8">
        <v>15.45</v>
      </c>
      <c r="I7" s="12">
        <v>0</v>
      </c>
    </row>
    <row r="8" spans="2:9" ht="15" customHeight="1" x14ac:dyDescent="0.2">
      <c r="B8" t="s">
        <v>78</v>
      </c>
      <c r="C8" s="12">
        <v>1</v>
      </c>
      <c r="D8" s="8">
        <v>0.03</v>
      </c>
      <c r="E8" s="12">
        <v>0</v>
      </c>
      <c r="F8" s="8">
        <v>0</v>
      </c>
      <c r="G8" s="12">
        <v>1</v>
      </c>
      <c r="H8" s="8">
        <v>7.0000000000000007E-2</v>
      </c>
      <c r="I8" s="12">
        <v>0</v>
      </c>
    </row>
    <row r="9" spans="2:9" ht="15" customHeight="1" x14ac:dyDescent="0.2">
      <c r="B9" t="s">
        <v>79</v>
      </c>
      <c r="C9" s="12">
        <v>16</v>
      </c>
      <c r="D9" s="8">
        <v>0.47</v>
      </c>
      <c r="E9" s="12">
        <v>1</v>
      </c>
      <c r="F9" s="8">
        <v>0.05</v>
      </c>
      <c r="G9" s="12">
        <v>15</v>
      </c>
      <c r="H9" s="8">
        <v>1.01</v>
      </c>
      <c r="I9" s="12">
        <v>0</v>
      </c>
    </row>
    <row r="10" spans="2:9" ht="15" customHeight="1" x14ac:dyDescent="0.2">
      <c r="B10" t="s">
        <v>80</v>
      </c>
      <c r="C10" s="12">
        <v>41</v>
      </c>
      <c r="D10" s="8">
        <v>1.2</v>
      </c>
      <c r="E10" s="12">
        <v>8</v>
      </c>
      <c r="F10" s="8">
        <v>0.42</v>
      </c>
      <c r="G10" s="12">
        <v>33</v>
      </c>
      <c r="H10" s="8">
        <v>2.23</v>
      </c>
      <c r="I10" s="12">
        <v>0</v>
      </c>
    </row>
    <row r="11" spans="2:9" ht="15" customHeight="1" x14ac:dyDescent="0.2">
      <c r="B11" t="s">
        <v>81</v>
      </c>
      <c r="C11" s="12">
        <v>730</v>
      </c>
      <c r="D11" s="8">
        <v>21.38</v>
      </c>
      <c r="E11" s="12">
        <v>375</v>
      </c>
      <c r="F11" s="8">
        <v>19.489999999999998</v>
      </c>
      <c r="G11" s="12">
        <v>354</v>
      </c>
      <c r="H11" s="8">
        <v>23.89</v>
      </c>
      <c r="I11" s="12">
        <v>1</v>
      </c>
    </row>
    <row r="12" spans="2:9" ht="15" customHeight="1" x14ac:dyDescent="0.2">
      <c r="B12" t="s">
        <v>82</v>
      </c>
      <c r="C12" s="12">
        <v>15</v>
      </c>
      <c r="D12" s="8">
        <v>0.44</v>
      </c>
      <c r="E12" s="12">
        <v>5</v>
      </c>
      <c r="F12" s="8">
        <v>0.26</v>
      </c>
      <c r="G12" s="12">
        <v>10</v>
      </c>
      <c r="H12" s="8">
        <v>0.67</v>
      </c>
      <c r="I12" s="12">
        <v>0</v>
      </c>
    </row>
    <row r="13" spans="2:9" ht="15" customHeight="1" x14ac:dyDescent="0.2">
      <c r="B13" t="s">
        <v>83</v>
      </c>
      <c r="C13" s="12">
        <v>371</v>
      </c>
      <c r="D13" s="8">
        <v>10.86</v>
      </c>
      <c r="E13" s="12">
        <v>152</v>
      </c>
      <c r="F13" s="8">
        <v>7.9</v>
      </c>
      <c r="G13" s="12">
        <v>218</v>
      </c>
      <c r="H13" s="8">
        <v>14.71</v>
      </c>
      <c r="I13" s="12">
        <v>0</v>
      </c>
    </row>
    <row r="14" spans="2:9" ht="15" customHeight="1" x14ac:dyDescent="0.2">
      <c r="B14" t="s">
        <v>84</v>
      </c>
      <c r="C14" s="12">
        <v>118</v>
      </c>
      <c r="D14" s="8">
        <v>3.46</v>
      </c>
      <c r="E14" s="12">
        <v>68</v>
      </c>
      <c r="F14" s="8">
        <v>3.53</v>
      </c>
      <c r="G14" s="12">
        <v>50</v>
      </c>
      <c r="H14" s="8">
        <v>3.37</v>
      </c>
      <c r="I14" s="12">
        <v>0</v>
      </c>
    </row>
    <row r="15" spans="2:9" ht="15" customHeight="1" x14ac:dyDescent="0.2">
      <c r="B15" t="s">
        <v>85</v>
      </c>
      <c r="C15" s="12">
        <v>370</v>
      </c>
      <c r="D15" s="8">
        <v>10.83</v>
      </c>
      <c r="E15" s="12">
        <v>342</v>
      </c>
      <c r="F15" s="8">
        <v>17.78</v>
      </c>
      <c r="G15" s="12">
        <v>28</v>
      </c>
      <c r="H15" s="8">
        <v>1.89</v>
      </c>
      <c r="I15" s="12">
        <v>0</v>
      </c>
    </row>
    <row r="16" spans="2:9" ht="15" customHeight="1" x14ac:dyDescent="0.2">
      <c r="B16" t="s">
        <v>86</v>
      </c>
      <c r="C16" s="12">
        <v>386</v>
      </c>
      <c r="D16" s="8">
        <v>11.3</v>
      </c>
      <c r="E16" s="12">
        <v>319</v>
      </c>
      <c r="F16" s="8">
        <v>16.579999999999998</v>
      </c>
      <c r="G16" s="12">
        <v>67</v>
      </c>
      <c r="H16" s="8">
        <v>4.5199999999999996</v>
      </c>
      <c r="I16" s="12">
        <v>0</v>
      </c>
    </row>
    <row r="17" spans="2:9" ht="15" customHeight="1" x14ac:dyDescent="0.2">
      <c r="B17" t="s">
        <v>87</v>
      </c>
      <c r="C17" s="12">
        <v>147</v>
      </c>
      <c r="D17" s="8">
        <v>4.3</v>
      </c>
      <c r="E17" s="12">
        <v>108</v>
      </c>
      <c r="F17" s="8">
        <v>5.61</v>
      </c>
      <c r="G17" s="12">
        <v>35</v>
      </c>
      <c r="H17" s="8">
        <v>2.36</v>
      </c>
      <c r="I17" s="12">
        <v>1</v>
      </c>
    </row>
    <row r="18" spans="2:9" ht="15" customHeight="1" x14ac:dyDescent="0.2">
      <c r="B18" t="s">
        <v>88</v>
      </c>
      <c r="C18" s="12">
        <v>183</v>
      </c>
      <c r="D18" s="8">
        <v>5.36</v>
      </c>
      <c r="E18" s="12">
        <v>123</v>
      </c>
      <c r="F18" s="8">
        <v>6.39</v>
      </c>
      <c r="G18" s="12">
        <v>57</v>
      </c>
      <c r="H18" s="8">
        <v>3.85</v>
      </c>
      <c r="I18" s="12">
        <v>0</v>
      </c>
    </row>
    <row r="19" spans="2:9" ht="15" customHeight="1" x14ac:dyDescent="0.2">
      <c r="B19" t="s">
        <v>89</v>
      </c>
      <c r="C19" s="12">
        <v>131</v>
      </c>
      <c r="D19" s="8">
        <v>3.84</v>
      </c>
      <c r="E19" s="12">
        <v>69</v>
      </c>
      <c r="F19" s="8">
        <v>3.59</v>
      </c>
      <c r="G19" s="12">
        <v>62</v>
      </c>
      <c r="H19" s="8">
        <v>4.18</v>
      </c>
      <c r="I19" s="12">
        <v>0</v>
      </c>
    </row>
    <row r="20" spans="2:9" ht="15" customHeight="1" x14ac:dyDescent="0.2">
      <c r="B20" s="9" t="s">
        <v>271</v>
      </c>
      <c r="C20" s="12">
        <f>SUM(LTBL_27219[総数／事業所数])</f>
        <v>3415</v>
      </c>
      <c r="E20" s="12">
        <f>SUBTOTAL(109,LTBL_27219[個人／事業所数])</f>
        <v>1924</v>
      </c>
      <c r="G20" s="12">
        <f>SUBTOTAL(109,LTBL_27219[法人／事業所数])</f>
        <v>1482</v>
      </c>
      <c r="I20" s="12">
        <f>SUBTOTAL(109,LTBL_27219[法人以外の団体／事業所数])</f>
        <v>2</v>
      </c>
    </row>
    <row r="21" spans="2:9" ht="15" customHeight="1" x14ac:dyDescent="0.2">
      <c r="E21" s="11">
        <f>LTBL_27219[[#Totals],[個人／事業所数]]/LTBL_27219[[#Totals],[総数／事業所数]]</f>
        <v>0.5633967789165446</v>
      </c>
      <c r="G21" s="11">
        <f>LTBL_27219[[#Totals],[法人／事業所数]]/LTBL_27219[[#Totals],[総数／事業所数]]</f>
        <v>0.43396778916544654</v>
      </c>
      <c r="I21" s="11">
        <f>LTBL_27219[[#Totals],[法人以外の団体／事業所数]]/LTBL_27219[[#Totals],[総数／事業所数]]</f>
        <v>5.856515373352855E-4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110</v>
      </c>
      <c r="C24" s="12">
        <v>313</v>
      </c>
      <c r="D24" s="8">
        <v>9.17</v>
      </c>
      <c r="E24" s="12">
        <v>144</v>
      </c>
      <c r="F24" s="8">
        <v>7.48</v>
      </c>
      <c r="G24" s="12">
        <v>168</v>
      </c>
      <c r="H24" s="8">
        <v>11.34</v>
      </c>
      <c r="I24" s="12">
        <v>0</v>
      </c>
    </row>
    <row r="25" spans="2:9" ht="15" customHeight="1" x14ac:dyDescent="0.2">
      <c r="B25" t="s">
        <v>113</v>
      </c>
      <c r="C25" s="12">
        <v>308</v>
      </c>
      <c r="D25" s="8">
        <v>9.02</v>
      </c>
      <c r="E25" s="12">
        <v>289</v>
      </c>
      <c r="F25" s="8">
        <v>15.02</v>
      </c>
      <c r="G25" s="12">
        <v>19</v>
      </c>
      <c r="H25" s="8">
        <v>1.28</v>
      </c>
      <c r="I25" s="12">
        <v>0</v>
      </c>
    </row>
    <row r="26" spans="2:9" ht="15" customHeight="1" x14ac:dyDescent="0.2">
      <c r="B26" t="s">
        <v>114</v>
      </c>
      <c r="C26" s="12">
        <v>308</v>
      </c>
      <c r="D26" s="8">
        <v>9.02</v>
      </c>
      <c r="E26" s="12">
        <v>272</v>
      </c>
      <c r="F26" s="8">
        <v>14.14</v>
      </c>
      <c r="G26" s="12">
        <v>36</v>
      </c>
      <c r="H26" s="8">
        <v>2.4300000000000002</v>
      </c>
      <c r="I26" s="12">
        <v>0</v>
      </c>
    </row>
    <row r="27" spans="2:9" ht="15" customHeight="1" x14ac:dyDescent="0.2">
      <c r="B27" t="s">
        <v>108</v>
      </c>
      <c r="C27" s="12">
        <v>214</v>
      </c>
      <c r="D27" s="8">
        <v>6.27</v>
      </c>
      <c r="E27" s="12">
        <v>124</v>
      </c>
      <c r="F27" s="8">
        <v>6.44</v>
      </c>
      <c r="G27" s="12">
        <v>90</v>
      </c>
      <c r="H27" s="8">
        <v>6.07</v>
      </c>
      <c r="I27" s="12">
        <v>0</v>
      </c>
    </row>
    <row r="28" spans="2:9" ht="15" customHeight="1" x14ac:dyDescent="0.2">
      <c r="B28" t="s">
        <v>98</v>
      </c>
      <c r="C28" s="12">
        <v>203</v>
      </c>
      <c r="D28" s="8">
        <v>5.94</v>
      </c>
      <c r="E28" s="12">
        <v>44</v>
      </c>
      <c r="F28" s="8">
        <v>2.29</v>
      </c>
      <c r="G28" s="12">
        <v>159</v>
      </c>
      <c r="H28" s="8">
        <v>10.73</v>
      </c>
      <c r="I28" s="12">
        <v>0</v>
      </c>
    </row>
    <row r="29" spans="2:9" ht="15" customHeight="1" x14ac:dyDescent="0.2">
      <c r="B29" t="s">
        <v>120</v>
      </c>
      <c r="C29" s="12">
        <v>150</v>
      </c>
      <c r="D29" s="8">
        <v>4.3899999999999997</v>
      </c>
      <c r="E29" s="12">
        <v>108</v>
      </c>
      <c r="F29" s="8">
        <v>5.61</v>
      </c>
      <c r="G29" s="12">
        <v>42</v>
      </c>
      <c r="H29" s="8">
        <v>2.83</v>
      </c>
      <c r="I29" s="12">
        <v>0</v>
      </c>
    </row>
    <row r="30" spans="2:9" ht="15" customHeight="1" x14ac:dyDescent="0.2">
      <c r="B30" t="s">
        <v>115</v>
      </c>
      <c r="C30" s="12">
        <v>147</v>
      </c>
      <c r="D30" s="8">
        <v>4.3</v>
      </c>
      <c r="E30" s="12">
        <v>108</v>
      </c>
      <c r="F30" s="8">
        <v>5.61</v>
      </c>
      <c r="G30" s="12">
        <v>35</v>
      </c>
      <c r="H30" s="8">
        <v>2.36</v>
      </c>
      <c r="I30" s="12">
        <v>1</v>
      </c>
    </row>
    <row r="31" spans="2:9" ht="15" customHeight="1" x14ac:dyDescent="0.2">
      <c r="B31" t="s">
        <v>116</v>
      </c>
      <c r="C31" s="12">
        <v>137</v>
      </c>
      <c r="D31" s="8">
        <v>4.01</v>
      </c>
      <c r="E31" s="12">
        <v>122</v>
      </c>
      <c r="F31" s="8">
        <v>6.34</v>
      </c>
      <c r="G31" s="12">
        <v>15</v>
      </c>
      <c r="H31" s="8">
        <v>1.01</v>
      </c>
      <c r="I31" s="12">
        <v>0</v>
      </c>
    </row>
    <row r="32" spans="2:9" ht="15" customHeight="1" x14ac:dyDescent="0.2">
      <c r="B32" t="s">
        <v>100</v>
      </c>
      <c r="C32" s="12">
        <v>129</v>
      </c>
      <c r="D32" s="8">
        <v>3.78</v>
      </c>
      <c r="E32" s="12">
        <v>37</v>
      </c>
      <c r="F32" s="8">
        <v>1.92</v>
      </c>
      <c r="G32" s="12">
        <v>92</v>
      </c>
      <c r="H32" s="8">
        <v>6.21</v>
      </c>
      <c r="I32" s="12">
        <v>0</v>
      </c>
    </row>
    <row r="33" spans="2:9" ht="15" customHeight="1" x14ac:dyDescent="0.2">
      <c r="B33" t="s">
        <v>107</v>
      </c>
      <c r="C33" s="12">
        <v>128</v>
      </c>
      <c r="D33" s="8">
        <v>3.75</v>
      </c>
      <c r="E33" s="12">
        <v>81</v>
      </c>
      <c r="F33" s="8">
        <v>4.21</v>
      </c>
      <c r="G33" s="12">
        <v>47</v>
      </c>
      <c r="H33" s="8">
        <v>3.17</v>
      </c>
      <c r="I33" s="12">
        <v>0</v>
      </c>
    </row>
    <row r="34" spans="2:9" ht="15" customHeight="1" x14ac:dyDescent="0.2">
      <c r="B34" t="s">
        <v>106</v>
      </c>
      <c r="C34" s="12">
        <v>114</v>
      </c>
      <c r="D34" s="8">
        <v>3.34</v>
      </c>
      <c r="E34" s="12">
        <v>96</v>
      </c>
      <c r="F34" s="8">
        <v>4.99</v>
      </c>
      <c r="G34" s="12">
        <v>18</v>
      </c>
      <c r="H34" s="8">
        <v>1.21</v>
      </c>
      <c r="I34" s="12">
        <v>0</v>
      </c>
    </row>
    <row r="35" spans="2:9" ht="15" customHeight="1" x14ac:dyDescent="0.2">
      <c r="B35" t="s">
        <v>99</v>
      </c>
      <c r="C35" s="12">
        <v>110</v>
      </c>
      <c r="D35" s="8">
        <v>3.22</v>
      </c>
      <c r="E35" s="12">
        <v>38</v>
      </c>
      <c r="F35" s="8">
        <v>1.98</v>
      </c>
      <c r="G35" s="12">
        <v>72</v>
      </c>
      <c r="H35" s="8">
        <v>4.8600000000000003</v>
      </c>
      <c r="I35" s="12">
        <v>0</v>
      </c>
    </row>
    <row r="36" spans="2:9" ht="15" customHeight="1" x14ac:dyDescent="0.2">
      <c r="B36" t="s">
        <v>111</v>
      </c>
      <c r="C36" s="12">
        <v>80</v>
      </c>
      <c r="D36" s="8">
        <v>2.34</v>
      </c>
      <c r="E36" s="12">
        <v>51</v>
      </c>
      <c r="F36" s="8">
        <v>2.65</v>
      </c>
      <c r="G36" s="12">
        <v>29</v>
      </c>
      <c r="H36" s="8">
        <v>1.96</v>
      </c>
      <c r="I36" s="12">
        <v>0</v>
      </c>
    </row>
    <row r="37" spans="2:9" ht="15" customHeight="1" x14ac:dyDescent="0.2">
      <c r="B37" t="s">
        <v>105</v>
      </c>
      <c r="C37" s="12">
        <v>78</v>
      </c>
      <c r="D37" s="8">
        <v>2.2799999999999998</v>
      </c>
      <c r="E37" s="12">
        <v>34</v>
      </c>
      <c r="F37" s="8">
        <v>1.77</v>
      </c>
      <c r="G37" s="12">
        <v>44</v>
      </c>
      <c r="H37" s="8">
        <v>2.97</v>
      </c>
      <c r="I37" s="12">
        <v>0</v>
      </c>
    </row>
    <row r="38" spans="2:9" ht="15" customHeight="1" x14ac:dyDescent="0.2">
      <c r="B38" t="s">
        <v>129</v>
      </c>
      <c r="C38" s="12">
        <v>63</v>
      </c>
      <c r="D38" s="8">
        <v>1.84</v>
      </c>
      <c r="E38" s="12">
        <v>52</v>
      </c>
      <c r="F38" s="8">
        <v>2.7</v>
      </c>
      <c r="G38" s="12">
        <v>11</v>
      </c>
      <c r="H38" s="8">
        <v>0.74</v>
      </c>
      <c r="I38" s="12">
        <v>0</v>
      </c>
    </row>
    <row r="39" spans="2:9" ht="15" customHeight="1" x14ac:dyDescent="0.2">
      <c r="B39" t="s">
        <v>101</v>
      </c>
      <c r="C39" s="12">
        <v>61</v>
      </c>
      <c r="D39" s="8">
        <v>1.79</v>
      </c>
      <c r="E39" s="12">
        <v>32</v>
      </c>
      <c r="F39" s="8">
        <v>1.66</v>
      </c>
      <c r="G39" s="12">
        <v>29</v>
      </c>
      <c r="H39" s="8">
        <v>1.96</v>
      </c>
      <c r="I39" s="12">
        <v>0</v>
      </c>
    </row>
    <row r="40" spans="2:9" ht="15" customHeight="1" x14ac:dyDescent="0.2">
      <c r="B40" t="s">
        <v>104</v>
      </c>
      <c r="C40" s="12">
        <v>57</v>
      </c>
      <c r="D40" s="8">
        <v>1.67</v>
      </c>
      <c r="E40" s="12">
        <v>8</v>
      </c>
      <c r="F40" s="8">
        <v>0.42</v>
      </c>
      <c r="G40" s="12">
        <v>48</v>
      </c>
      <c r="H40" s="8">
        <v>3.24</v>
      </c>
      <c r="I40" s="12">
        <v>1</v>
      </c>
    </row>
    <row r="41" spans="2:9" ht="15" customHeight="1" x14ac:dyDescent="0.2">
      <c r="B41" t="s">
        <v>109</v>
      </c>
      <c r="C41" s="12">
        <v>49</v>
      </c>
      <c r="D41" s="8">
        <v>1.43</v>
      </c>
      <c r="E41" s="12">
        <v>6</v>
      </c>
      <c r="F41" s="8">
        <v>0.31</v>
      </c>
      <c r="G41" s="12">
        <v>43</v>
      </c>
      <c r="H41" s="8">
        <v>2.9</v>
      </c>
      <c r="I41" s="12">
        <v>0</v>
      </c>
    </row>
    <row r="42" spans="2:9" ht="15" customHeight="1" x14ac:dyDescent="0.2">
      <c r="B42" t="s">
        <v>117</v>
      </c>
      <c r="C42" s="12">
        <v>46</v>
      </c>
      <c r="D42" s="8">
        <v>1.35</v>
      </c>
      <c r="E42" s="12">
        <v>1</v>
      </c>
      <c r="F42" s="8">
        <v>0.05</v>
      </c>
      <c r="G42" s="12">
        <v>42</v>
      </c>
      <c r="H42" s="8">
        <v>2.83</v>
      </c>
      <c r="I42" s="12">
        <v>0</v>
      </c>
    </row>
    <row r="43" spans="2:9" ht="15" customHeight="1" x14ac:dyDescent="0.2">
      <c r="B43" t="s">
        <v>130</v>
      </c>
      <c r="C43" s="12">
        <v>44</v>
      </c>
      <c r="D43" s="8">
        <v>1.29</v>
      </c>
      <c r="E43" s="12">
        <v>25</v>
      </c>
      <c r="F43" s="8">
        <v>1.3</v>
      </c>
      <c r="G43" s="12">
        <v>19</v>
      </c>
      <c r="H43" s="8">
        <v>1.28</v>
      </c>
      <c r="I43" s="12">
        <v>0</v>
      </c>
    </row>
    <row r="46" spans="2:9" ht="33" customHeight="1" x14ac:dyDescent="0.2">
      <c r="B46" t="s">
        <v>273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169</v>
      </c>
      <c r="C47" s="12">
        <v>155</v>
      </c>
      <c r="D47" s="8">
        <v>4.54</v>
      </c>
      <c r="E47" s="12">
        <v>144</v>
      </c>
      <c r="F47" s="8">
        <v>7.48</v>
      </c>
      <c r="G47" s="12">
        <v>11</v>
      </c>
      <c r="H47" s="8">
        <v>0.74</v>
      </c>
      <c r="I47" s="12">
        <v>0</v>
      </c>
    </row>
    <row r="48" spans="2:9" ht="15" customHeight="1" x14ac:dyDescent="0.2">
      <c r="B48" t="s">
        <v>160</v>
      </c>
      <c r="C48" s="12">
        <v>133</v>
      </c>
      <c r="D48" s="8">
        <v>3.89</v>
      </c>
      <c r="E48" s="12">
        <v>52</v>
      </c>
      <c r="F48" s="8">
        <v>2.7</v>
      </c>
      <c r="G48" s="12">
        <v>81</v>
      </c>
      <c r="H48" s="8">
        <v>5.47</v>
      </c>
      <c r="I48" s="12">
        <v>0</v>
      </c>
    </row>
    <row r="49" spans="2:9" ht="15" customHeight="1" x14ac:dyDescent="0.2">
      <c r="B49" t="s">
        <v>171</v>
      </c>
      <c r="C49" s="12">
        <v>111</v>
      </c>
      <c r="D49" s="8">
        <v>3.25</v>
      </c>
      <c r="E49" s="12">
        <v>101</v>
      </c>
      <c r="F49" s="8">
        <v>5.25</v>
      </c>
      <c r="G49" s="12">
        <v>10</v>
      </c>
      <c r="H49" s="8">
        <v>0.67</v>
      </c>
      <c r="I49" s="12">
        <v>0</v>
      </c>
    </row>
    <row r="50" spans="2:9" ht="15" customHeight="1" x14ac:dyDescent="0.2">
      <c r="B50" t="s">
        <v>170</v>
      </c>
      <c r="C50" s="12">
        <v>98</v>
      </c>
      <c r="D50" s="8">
        <v>2.87</v>
      </c>
      <c r="E50" s="12">
        <v>75</v>
      </c>
      <c r="F50" s="8">
        <v>3.9</v>
      </c>
      <c r="G50" s="12">
        <v>22</v>
      </c>
      <c r="H50" s="8">
        <v>1.48</v>
      </c>
      <c r="I50" s="12">
        <v>1</v>
      </c>
    </row>
    <row r="51" spans="2:9" ht="15" customHeight="1" x14ac:dyDescent="0.2">
      <c r="B51" t="s">
        <v>168</v>
      </c>
      <c r="C51" s="12">
        <v>94</v>
      </c>
      <c r="D51" s="8">
        <v>2.75</v>
      </c>
      <c r="E51" s="12">
        <v>92</v>
      </c>
      <c r="F51" s="8">
        <v>4.78</v>
      </c>
      <c r="G51" s="12">
        <v>2</v>
      </c>
      <c r="H51" s="8">
        <v>0.13</v>
      </c>
      <c r="I51" s="12">
        <v>0</v>
      </c>
    </row>
    <row r="52" spans="2:9" ht="15" customHeight="1" x14ac:dyDescent="0.2">
      <c r="B52" t="s">
        <v>215</v>
      </c>
      <c r="C52" s="12">
        <v>91</v>
      </c>
      <c r="D52" s="8">
        <v>2.66</v>
      </c>
      <c r="E52" s="12">
        <v>55</v>
      </c>
      <c r="F52" s="8">
        <v>2.86</v>
      </c>
      <c r="G52" s="12">
        <v>36</v>
      </c>
      <c r="H52" s="8">
        <v>2.4300000000000002</v>
      </c>
      <c r="I52" s="12">
        <v>0</v>
      </c>
    </row>
    <row r="53" spans="2:9" ht="15" customHeight="1" x14ac:dyDescent="0.2">
      <c r="B53" t="s">
        <v>161</v>
      </c>
      <c r="C53" s="12">
        <v>87</v>
      </c>
      <c r="D53" s="8">
        <v>2.5499999999999998</v>
      </c>
      <c r="E53" s="12">
        <v>72</v>
      </c>
      <c r="F53" s="8">
        <v>3.74</v>
      </c>
      <c r="G53" s="12">
        <v>15</v>
      </c>
      <c r="H53" s="8">
        <v>1.01</v>
      </c>
      <c r="I53" s="12">
        <v>0</v>
      </c>
    </row>
    <row r="54" spans="2:9" ht="15" customHeight="1" x14ac:dyDescent="0.2">
      <c r="B54" t="s">
        <v>157</v>
      </c>
      <c r="C54" s="12">
        <v>77</v>
      </c>
      <c r="D54" s="8">
        <v>2.25</v>
      </c>
      <c r="E54" s="12">
        <v>54</v>
      </c>
      <c r="F54" s="8">
        <v>2.81</v>
      </c>
      <c r="G54" s="12">
        <v>23</v>
      </c>
      <c r="H54" s="8">
        <v>1.55</v>
      </c>
      <c r="I54" s="12">
        <v>0</v>
      </c>
    </row>
    <row r="55" spans="2:9" ht="15" customHeight="1" x14ac:dyDescent="0.2">
      <c r="B55" t="s">
        <v>165</v>
      </c>
      <c r="C55" s="12">
        <v>75</v>
      </c>
      <c r="D55" s="8">
        <v>2.2000000000000002</v>
      </c>
      <c r="E55" s="12">
        <v>72</v>
      </c>
      <c r="F55" s="8">
        <v>3.74</v>
      </c>
      <c r="G55" s="12">
        <v>3</v>
      </c>
      <c r="H55" s="8">
        <v>0.2</v>
      </c>
      <c r="I55" s="12">
        <v>0</v>
      </c>
    </row>
    <row r="56" spans="2:9" ht="15" customHeight="1" x14ac:dyDescent="0.2">
      <c r="B56" t="s">
        <v>167</v>
      </c>
      <c r="C56" s="12">
        <v>73</v>
      </c>
      <c r="D56" s="8">
        <v>2.14</v>
      </c>
      <c r="E56" s="12">
        <v>71</v>
      </c>
      <c r="F56" s="8">
        <v>3.69</v>
      </c>
      <c r="G56" s="12">
        <v>2</v>
      </c>
      <c r="H56" s="8">
        <v>0.13</v>
      </c>
      <c r="I56" s="12">
        <v>0</v>
      </c>
    </row>
    <row r="57" spans="2:9" ht="15" customHeight="1" x14ac:dyDescent="0.2">
      <c r="B57" t="s">
        <v>190</v>
      </c>
      <c r="C57" s="12">
        <v>70</v>
      </c>
      <c r="D57" s="8">
        <v>2.0499999999999998</v>
      </c>
      <c r="E57" s="12">
        <v>11</v>
      </c>
      <c r="F57" s="8">
        <v>0.56999999999999995</v>
      </c>
      <c r="G57" s="12">
        <v>59</v>
      </c>
      <c r="H57" s="8">
        <v>3.98</v>
      </c>
      <c r="I57" s="12">
        <v>0</v>
      </c>
    </row>
    <row r="58" spans="2:9" ht="15" customHeight="1" x14ac:dyDescent="0.2">
      <c r="B58" t="s">
        <v>159</v>
      </c>
      <c r="C58" s="12">
        <v>67</v>
      </c>
      <c r="D58" s="8">
        <v>1.96</v>
      </c>
      <c r="E58" s="12">
        <v>16</v>
      </c>
      <c r="F58" s="8">
        <v>0.83</v>
      </c>
      <c r="G58" s="12">
        <v>51</v>
      </c>
      <c r="H58" s="8">
        <v>3.44</v>
      </c>
      <c r="I58" s="12">
        <v>0</v>
      </c>
    </row>
    <row r="59" spans="2:9" ht="15" customHeight="1" x14ac:dyDescent="0.2">
      <c r="B59" t="s">
        <v>153</v>
      </c>
      <c r="C59" s="12">
        <v>62</v>
      </c>
      <c r="D59" s="8">
        <v>1.82</v>
      </c>
      <c r="E59" s="12">
        <v>20</v>
      </c>
      <c r="F59" s="8">
        <v>1.04</v>
      </c>
      <c r="G59" s="12">
        <v>42</v>
      </c>
      <c r="H59" s="8">
        <v>2.83</v>
      </c>
      <c r="I59" s="12">
        <v>0</v>
      </c>
    </row>
    <row r="60" spans="2:9" ht="15" customHeight="1" x14ac:dyDescent="0.2">
      <c r="B60" t="s">
        <v>198</v>
      </c>
      <c r="C60" s="12">
        <v>62</v>
      </c>
      <c r="D60" s="8">
        <v>1.82</v>
      </c>
      <c r="E60" s="12">
        <v>52</v>
      </c>
      <c r="F60" s="8">
        <v>2.7</v>
      </c>
      <c r="G60" s="12">
        <v>10</v>
      </c>
      <c r="H60" s="8">
        <v>0.67</v>
      </c>
      <c r="I60" s="12">
        <v>0</v>
      </c>
    </row>
    <row r="61" spans="2:9" ht="15" customHeight="1" x14ac:dyDescent="0.2">
      <c r="B61" t="s">
        <v>152</v>
      </c>
      <c r="C61" s="12">
        <v>61</v>
      </c>
      <c r="D61" s="8">
        <v>1.79</v>
      </c>
      <c r="E61" s="12">
        <v>12</v>
      </c>
      <c r="F61" s="8">
        <v>0.62</v>
      </c>
      <c r="G61" s="12">
        <v>49</v>
      </c>
      <c r="H61" s="8">
        <v>3.31</v>
      </c>
      <c r="I61" s="12">
        <v>0</v>
      </c>
    </row>
    <row r="62" spans="2:9" ht="15" customHeight="1" x14ac:dyDescent="0.2">
      <c r="B62" t="s">
        <v>164</v>
      </c>
      <c r="C62" s="12">
        <v>61</v>
      </c>
      <c r="D62" s="8">
        <v>1.79</v>
      </c>
      <c r="E62" s="12">
        <v>56</v>
      </c>
      <c r="F62" s="8">
        <v>2.91</v>
      </c>
      <c r="G62" s="12">
        <v>5</v>
      </c>
      <c r="H62" s="8">
        <v>0.34</v>
      </c>
      <c r="I62" s="12">
        <v>0</v>
      </c>
    </row>
    <row r="63" spans="2:9" ht="15" customHeight="1" x14ac:dyDescent="0.2">
      <c r="B63" t="s">
        <v>174</v>
      </c>
      <c r="C63" s="12">
        <v>52</v>
      </c>
      <c r="D63" s="8">
        <v>1.52</v>
      </c>
      <c r="E63" s="12">
        <v>15</v>
      </c>
      <c r="F63" s="8">
        <v>0.78</v>
      </c>
      <c r="G63" s="12">
        <v>37</v>
      </c>
      <c r="H63" s="8">
        <v>2.5</v>
      </c>
      <c r="I63" s="12">
        <v>0</v>
      </c>
    </row>
    <row r="64" spans="2:9" ht="15" customHeight="1" x14ac:dyDescent="0.2">
      <c r="B64" t="s">
        <v>229</v>
      </c>
      <c r="C64" s="12">
        <v>52</v>
      </c>
      <c r="D64" s="8">
        <v>1.52</v>
      </c>
      <c r="E64" s="12">
        <v>37</v>
      </c>
      <c r="F64" s="8">
        <v>1.92</v>
      </c>
      <c r="G64" s="12">
        <v>15</v>
      </c>
      <c r="H64" s="8">
        <v>1.01</v>
      </c>
      <c r="I64" s="12">
        <v>0</v>
      </c>
    </row>
    <row r="65" spans="2:9" ht="15" customHeight="1" x14ac:dyDescent="0.2">
      <c r="B65" t="s">
        <v>166</v>
      </c>
      <c r="C65" s="12">
        <v>45</v>
      </c>
      <c r="D65" s="8">
        <v>1.32</v>
      </c>
      <c r="E65" s="12">
        <v>44</v>
      </c>
      <c r="F65" s="8">
        <v>2.29</v>
      </c>
      <c r="G65" s="12">
        <v>1</v>
      </c>
      <c r="H65" s="8">
        <v>7.0000000000000007E-2</v>
      </c>
      <c r="I65" s="12">
        <v>0</v>
      </c>
    </row>
    <row r="66" spans="2:9" ht="15" customHeight="1" x14ac:dyDescent="0.2">
      <c r="B66" t="s">
        <v>199</v>
      </c>
      <c r="C66" s="12">
        <v>43</v>
      </c>
      <c r="D66" s="8">
        <v>1.26</v>
      </c>
      <c r="E66" s="12">
        <v>33</v>
      </c>
      <c r="F66" s="8">
        <v>1.72</v>
      </c>
      <c r="G66" s="12">
        <v>10</v>
      </c>
      <c r="H66" s="8">
        <v>0.67</v>
      </c>
      <c r="I66" s="12">
        <v>0</v>
      </c>
    </row>
    <row r="68" spans="2:9" ht="15" customHeight="1" x14ac:dyDescent="0.2">
      <c r="B68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CB8C6-552D-4101-AD0F-2C94A8EB53A8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326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275</v>
      </c>
      <c r="D6" s="8">
        <v>11.98</v>
      </c>
      <c r="E6" s="12">
        <v>50</v>
      </c>
      <c r="F6" s="8">
        <v>5.68</v>
      </c>
      <c r="G6" s="12">
        <v>225</v>
      </c>
      <c r="H6" s="8">
        <v>15.97</v>
      </c>
      <c r="I6" s="12">
        <v>0</v>
      </c>
    </row>
    <row r="7" spans="2:9" ht="15" customHeight="1" x14ac:dyDescent="0.2">
      <c r="B7" t="s">
        <v>77</v>
      </c>
      <c r="C7" s="12">
        <v>91</v>
      </c>
      <c r="D7" s="8">
        <v>3.97</v>
      </c>
      <c r="E7" s="12">
        <v>19</v>
      </c>
      <c r="F7" s="8">
        <v>2.16</v>
      </c>
      <c r="G7" s="12">
        <v>72</v>
      </c>
      <c r="H7" s="8">
        <v>5.1100000000000003</v>
      </c>
      <c r="I7" s="12">
        <v>0</v>
      </c>
    </row>
    <row r="8" spans="2:9" ht="15" customHeight="1" x14ac:dyDescent="0.2">
      <c r="B8" t="s">
        <v>78</v>
      </c>
      <c r="C8" s="12">
        <v>3</v>
      </c>
      <c r="D8" s="8">
        <v>0.13</v>
      </c>
      <c r="E8" s="12">
        <v>0</v>
      </c>
      <c r="F8" s="8">
        <v>0</v>
      </c>
      <c r="G8" s="12">
        <v>3</v>
      </c>
      <c r="H8" s="8">
        <v>0.21</v>
      </c>
      <c r="I8" s="12">
        <v>0</v>
      </c>
    </row>
    <row r="9" spans="2:9" ht="15" customHeight="1" x14ac:dyDescent="0.2">
      <c r="B9" t="s">
        <v>79</v>
      </c>
      <c r="C9" s="12">
        <v>40</v>
      </c>
      <c r="D9" s="8">
        <v>1.74</v>
      </c>
      <c r="E9" s="12">
        <v>3</v>
      </c>
      <c r="F9" s="8">
        <v>0.34</v>
      </c>
      <c r="G9" s="12">
        <v>37</v>
      </c>
      <c r="H9" s="8">
        <v>2.63</v>
      </c>
      <c r="I9" s="12">
        <v>0</v>
      </c>
    </row>
    <row r="10" spans="2:9" ht="15" customHeight="1" x14ac:dyDescent="0.2">
      <c r="B10" t="s">
        <v>80</v>
      </c>
      <c r="C10" s="12">
        <v>20</v>
      </c>
      <c r="D10" s="8">
        <v>0.87</v>
      </c>
      <c r="E10" s="12">
        <v>1</v>
      </c>
      <c r="F10" s="8">
        <v>0.11</v>
      </c>
      <c r="G10" s="12">
        <v>19</v>
      </c>
      <c r="H10" s="8">
        <v>1.35</v>
      </c>
      <c r="I10" s="12">
        <v>0</v>
      </c>
    </row>
    <row r="11" spans="2:9" ht="15" customHeight="1" x14ac:dyDescent="0.2">
      <c r="B11" t="s">
        <v>81</v>
      </c>
      <c r="C11" s="12">
        <v>531</v>
      </c>
      <c r="D11" s="8">
        <v>23.14</v>
      </c>
      <c r="E11" s="12">
        <v>198</v>
      </c>
      <c r="F11" s="8">
        <v>22.47</v>
      </c>
      <c r="G11" s="12">
        <v>333</v>
      </c>
      <c r="H11" s="8">
        <v>23.63</v>
      </c>
      <c r="I11" s="12">
        <v>0</v>
      </c>
    </row>
    <row r="12" spans="2:9" ht="15" customHeight="1" x14ac:dyDescent="0.2">
      <c r="B12" t="s">
        <v>82</v>
      </c>
      <c r="C12" s="12">
        <v>9</v>
      </c>
      <c r="D12" s="8">
        <v>0.39</v>
      </c>
      <c r="E12" s="12">
        <v>0</v>
      </c>
      <c r="F12" s="8">
        <v>0</v>
      </c>
      <c r="G12" s="12">
        <v>9</v>
      </c>
      <c r="H12" s="8">
        <v>0.64</v>
      </c>
      <c r="I12" s="12">
        <v>0</v>
      </c>
    </row>
    <row r="13" spans="2:9" ht="15" customHeight="1" x14ac:dyDescent="0.2">
      <c r="B13" t="s">
        <v>83</v>
      </c>
      <c r="C13" s="12">
        <v>491</v>
      </c>
      <c r="D13" s="8">
        <v>21.39</v>
      </c>
      <c r="E13" s="12">
        <v>91</v>
      </c>
      <c r="F13" s="8">
        <v>10.33</v>
      </c>
      <c r="G13" s="12">
        <v>398</v>
      </c>
      <c r="H13" s="8">
        <v>28.25</v>
      </c>
      <c r="I13" s="12">
        <v>2</v>
      </c>
    </row>
    <row r="14" spans="2:9" ht="15" customHeight="1" x14ac:dyDescent="0.2">
      <c r="B14" t="s">
        <v>84</v>
      </c>
      <c r="C14" s="12">
        <v>126</v>
      </c>
      <c r="D14" s="8">
        <v>5.49</v>
      </c>
      <c r="E14" s="12">
        <v>43</v>
      </c>
      <c r="F14" s="8">
        <v>4.88</v>
      </c>
      <c r="G14" s="12">
        <v>83</v>
      </c>
      <c r="H14" s="8">
        <v>5.89</v>
      </c>
      <c r="I14" s="12">
        <v>0</v>
      </c>
    </row>
    <row r="15" spans="2:9" ht="15" customHeight="1" x14ac:dyDescent="0.2">
      <c r="B15" t="s">
        <v>85</v>
      </c>
      <c r="C15" s="12">
        <v>202</v>
      </c>
      <c r="D15" s="8">
        <v>8.8000000000000007</v>
      </c>
      <c r="E15" s="12">
        <v>153</v>
      </c>
      <c r="F15" s="8">
        <v>17.37</v>
      </c>
      <c r="G15" s="12">
        <v>49</v>
      </c>
      <c r="H15" s="8">
        <v>3.48</v>
      </c>
      <c r="I15" s="12">
        <v>0</v>
      </c>
    </row>
    <row r="16" spans="2:9" ht="15" customHeight="1" x14ac:dyDescent="0.2">
      <c r="B16" t="s">
        <v>86</v>
      </c>
      <c r="C16" s="12">
        <v>236</v>
      </c>
      <c r="D16" s="8">
        <v>10.28</v>
      </c>
      <c r="E16" s="12">
        <v>176</v>
      </c>
      <c r="F16" s="8">
        <v>19.98</v>
      </c>
      <c r="G16" s="12">
        <v>59</v>
      </c>
      <c r="H16" s="8">
        <v>4.1900000000000004</v>
      </c>
      <c r="I16" s="12">
        <v>1</v>
      </c>
    </row>
    <row r="17" spans="2:9" ht="15" customHeight="1" x14ac:dyDescent="0.2">
      <c r="B17" t="s">
        <v>87</v>
      </c>
      <c r="C17" s="12">
        <v>75</v>
      </c>
      <c r="D17" s="8">
        <v>3.27</v>
      </c>
      <c r="E17" s="12">
        <v>52</v>
      </c>
      <c r="F17" s="8">
        <v>5.9</v>
      </c>
      <c r="G17" s="12">
        <v>21</v>
      </c>
      <c r="H17" s="8">
        <v>1.49</v>
      </c>
      <c r="I17" s="12">
        <v>0</v>
      </c>
    </row>
    <row r="18" spans="2:9" ht="15" customHeight="1" x14ac:dyDescent="0.2">
      <c r="B18" t="s">
        <v>88</v>
      </c>
      <c r="C18" s="12">
        <v>133</v>
      </c>
      <c r="D18" s="8">
        <v>5.8</v>
      </c>
      <c r="E18" s="12">
        <v>86</v>
      </c>
      <c r="F18" s="8">
        <v>9.76</v>
      </c>
      <c r="G18" s="12">
        <v>47</v>
      </c>
      <c r="H18" s="8">
        <v>3.34</v>
      </c>
      <c r="I18" s="12">
        <v>0</v>
      </c>
    </row>
    <row r="19" spans="2:9" ht="15" customHeight="1" x14ac:dyDescent="0.2">
      <c r="B19" t="s">
        <v>89</v>
      </c>
      <c r="C19" s="12">
        <v>63</v>
      </c>
      <c r="D19" s="8">
        <v>2.75</v>
      </c>
      <c r="E19" s="12">
        <v>9</v>
      </c>
      <c r="F19" s="8">
        <v>1.02</v>
      </c>
      <c r="G19" s="12">
        <v>54</v>
      </c>
      <c r="H19" s="8">
        <v>3.83</v>
      </c>
      <c r="I19" s="12">
        <v>0</v>
      </c>
    </row>
    <row r="20" spans="2:9" ht="15" customHeight="1" x14ac:dyDescent="0.2">
      <c r="B20" s="9" t="s">
        <v>271</v>
      </c>
      <c r="C20" s="12">
        <f>SUM(LTBL_27220[総数／事業所数])</f>
        <v>2295</v>
      </c>
      <c r="E20" s="12">
        <f>SUBTOTAL(109,LTBL_27220[個人／事業所数])</f>
        <v>881</v>
      </c>
      <c r="G20" s="12">
        <f>SUBTOTAL(109,LTBL_27220[法人／事業所数])</f>
        <v>1409</v>
      </c>
      <c r="I20" s="12">
        <f>SUBTOTAL(109,LTBL_27220[法人以外の団体／事業所数])</f>
        <v>3</v>
      </c>
    </row>
    <row r="21" spans="2:9" ht="15" customHeight="1" x14ac:dyDescent="0.2">
      <c r="E21" s="11">
        <f>LTBL_27220[[#Totals],[個人／事業所数]]/LTBL_27220[[#Totals],[総数／事業所数]]</f>
        <v>0.38387799564270153</v>
      </c>
      <c r="G21" s="11">
        <f>LTBL_27220[[#Totals],[法人／事業所数]]/LTBL_27220[[#Totals],[総数／事業所数]]</f>
        <v>0.61394335511982567</v>
      </c>
      <c r="I21" s="11">
        <f>LTBL_27220[[#Totals],[法人以外の団体／事業所数]]/LTBL_27220[[#Totals],[総数／事業所数]]</f>
        <v>1.30718954248366E-3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110</v>
      </c>
      <c r="C24" s="12">
        <v>430</v>
      </c>
      <c r="D24" s="8">
        <v>18.739999999999998</v>
      </c>
      <c r="E24" s="12">
        <v>85</v>
      </c>
      <c r="F24" s="8">
        <v>9.65</v>
      </c>
      <c r="G24" s="12">
        <v>343</v>
      </c>
      <c r="H24" s="8">
        <v>24.34</v>
      </c>
      <c r="I24" s="12">
        <v>2</v>
      </c>
    </row>
    <row r="25" spans="2:9" ht="15" customHeight="1" x14ac:dyDescent="0.2">
      <c r="B25" t="s">
        <v>114</v>
      </c>
      <c r="C25" s="12">
        <v>188</v>
      </c>
      <c r="D25" s="8">
        <v>8.19</v>
      </c>
      <c r="E25" s="12">
        <v>155</v>
      </c>
      <c r="F25" s="8">
        <v>17.59</v>
      </c>
      <c r="G25" s="12">
        <v>32</v>
      </c>
      <c r="H25" s="8">
        <v>2.27</v>
      </c>
      <c r="I25" s="12">
        <v>1</v>
      </c>
    </row>
    <row r="26" spans="2:9" ht="15" customHeight="1" x14ac:dyDescent="0.2">
      <c r="B26" t="s">
        <v>113</v>
      </c>
      <c r="C26" s="12">
        <v>181</v>
      </c>
      <c r="D26" s="8">
        <v>7.89</v>
      </c>
      <c r="E26" s="12">
        <v>148</v>
      </c>
      <c r="F26" s="8">
        <v>16.8</v>
      </c>
      <c r="G26" s="12">
        <v>33</v>
      </c>
      <c r="H26" s="8">
        <v>2.34</v>
      </c>
      <c r="I26" s="12">
        <v>0</v>
      </c>
    </row>
    <row r="27" spans="2:9" ht="15" customHeight="1" x14ac:dyDescent="0.2">
      <c r="B27" t="s">
        <v>98</v>
      </c>
      <c r="C27" s="12">
        <v>121</v>
      </c>
      <c r="D27" s="8">
        <v>5.27</v>
      </c>
      <c r="E27" s="12">
        <v>16</v>
      </c>
      <c r="F27" s="8">
        <v>1.82</v>
      </c>
      <c r="G27" s="12">
        <v>105</v>
      </c>
      <c r="H27" s="8">
        <v>7.45</v>
      </c>
      <c r="I27" s="12">
        <v>0</v>
      </c>
    </row>
    <row r="28" spans="2:9" ht="15" customHeight="1" x14ac:dyDescent="0.2">
      <c r="B28" t="s">
        <v>108</v>
      </c>
      <c r="C28" s="12">
        <v>121</v>
      </c>
      <c r="D28" s="8">
        <v>5.27</v>
      </c>
      <c r="E28" s="12">
        <v>60</v>
      </c>
      <c r="F28" s="8">
        <v>6.81</v>
      </c>
      <c r="G28" s="12">
        <v>61</v>
      </c>
      <c r="H28" s="8">
        <v>4.33</v>
      </c>
      <c r="I28" s="12">
        <v>0</v>
      </c>
    </row>
    <row r="29" spans="2:9" ht="15" customHeight="1" x14ac:dyDescent="0.2">
      <c r="B29" t="s">
        <v>116</v>
      </c>
      <c r="C29" s="12">
        <v>97</v>
      </c>
      <c r="D29" s="8">
        <v>4.2300000000000004</v>
      </c>
      <c r="E29" s="12">
        <v>85</v>
      </c>
      <c r="F29" s="8">
        <v>9.65</v>
      </c>
      <c r="G29" s="12">
        <v>12</v>
      </c>
      <c r="H29" s="8">
        <v>0.85</v>
      </c>
      <c r="I29" s="12">
        <v>0</v>
      </c>
    </row>
    <row r="30" spans="2:9" ht="15" customHeight="1" x14ac:dyDescent="0.2">
      <c r="B30" t="s">
        <v>106</v>
      </c>
      <c r="C30" s="12">
        <v>90</v>
      </c>
      <c r="D30" s="8">
        <v>3.92</v>
      </c>
      <c r="E30" s="12">
        <v>61</v>
      </c>
      <c r="F30" s="8">
        <v>6.92</v>
      </c>
      <c r="G30" s="12">
        <v>29</v>
      </c>
      <c r="H30" s="8">
        <v>2.06</v>
      </c>
      <c r="I30" s="12">
        <v>0</v>
      </c>
    </row>
    <row r="31" spans="2:9" ht="15" customHeight="1" x14ac:dyDescent="0.2">
      <c r="B31" t="s">
        <v>99</v>
      </c>
      <c r="C31" s="12">
        <v>85</v>
      </c>
      <c r="D31" s="8">
        <v>3.7</v>
      </c>
      <c r="E31" s="12">
        <v>20</v>
      </c>
      <c r="F31" s="8">
        <v>2.27</v>
      </c>
      <c r="G31" s="12">
        <v>65</v>
      </c>
      <c r="H31" s="8">
        <v>4.6100000000000003</v>
      </c>
      <c r="I31" s="12">
        <v>0</v>
      </c>
    </row>
    <row r="32" spans="2:9" ht="15" customHeight="1" x14ac:dyDescent="0.2">
      <c r="B32" t="s">
        <v>111</v>
      </c>
      <c r="C32" s="12">
        <v>80</v>
      </c>
      <c r="D32" s="8">
        <v>3.49</v>
      </c>
      <c r="E32" s="12">
        <v>31</v>
      </c>
      <c r="F32" s="8">
        <v>3.52</v>
      </c>
      <c r="G32" s="12">
        <v>49</v>
      </c>
      <c r="H32" s="8">
        <v>3.48</v>
      </c>
      <c r="I32" s="12">
        <v>0</v>
      </c>
    </row>
    <row r="33" spans="2:9" ht="15" customHeight="1" x14ac:dyDescent="0.2">
      <c r="B33" t="s">
        <v>115</v>
      </c>
      <c r="C33" s="12">
        <v>75</v>
      </c>
      <c r="D33" s="8">
        <v>3.27</v>
      </c>
      <c r="E33" s="12">
        <v>52</v>
      </c>
      <c r="F33" s="8">
        <v>5.9</v>
      </c>
      <c r="G33" s="12">
        <v>21</v>
      </c>
      <c r="H33" s="8">
        <v>1.49</v>
      </c>
      <c r="I33" s="12">
        <v>0</v>
      </c>
    </row>
    <row r="34" spans="2:9" ht="15" customHeight="1" x14ac:dyDescent="0.2">
      <c r="B34" t="s">
        <v>100</v>
      </c>
      <c r="C34" s="12">
        <v>69</v>
      </c>
      <c r="D34" s="8">
        <v>3.01</v>
      </c>
      <c r="E34" s="12">
        <v>14</v>
      </c>
      <c r="F34" s="8">
        <v>1.59</v>
      </c>
      <c r="G34" s="12">
        <v>55</v>
      </c>
      <c r="H34" s="8">
        <v>3.9</v>
      </c>
      <c r="I34" s="12">
        <v>0</v>
      </c>
    </row>
    <row r="35" spans="2:9" ht="15" customHeight="1" x14ac:dyDescent="0.2">
      <c r="B35" t="s">
        <v>107</v>
      </c>
      <c r="C35" s="12">
        <v>69</v>
      </c>
      <c r="D35" s="8">
        <v>3.01</v>
      </c>
      <c r="E35" s="12">
        <v>23</v>
      </c>
      <c r="F35" s="8">
        <v>2.61</v>
      </c>
      <c r="G35" s="12">
        <v>46</v>
      </c>
      <c r="H35" s="8">
        <v>3.26</v>
      </c>
      <c r="I35" s="12">
        <v>0</v>
      </c>
    </row>
    <row r="36" spans="2:9" ht="15" customHeight="1" x14ac:dyDescent="0.2">
      <c r="B36" t="s">
        <v>105</v>
      </c>
      <c r="C36" s="12">
        <v>56</v>
      </c>
      <c r="D36" s="8">
        <v>2.44</v>
      </c>
      <c r="E36" s="12">
        <v>35</v>
      </c>
      <c r="F36" s="8">
        <v>3.97</v>
      </c>
      <c r="G36" s="12">
        <v>21</v>
      </c>
      <c r="H36" s="8">
        <v>1.49</v>
      </c>
      <c r="I36" s="12">
        <v>0</v>
      </c>
    </row>
    <row r="37" spans="2:9" ht="15" customHeight="1" x14ac:dyDescent="0.2">
      <c r="B37" t="s">
        <v>109</v>
      </c>
      <c r="C37" s="12">
        <v>52</v>
      </c>
      <c r="D37" s="8">
        <v>2.27</v>
      </c>
      <c r="E37" s="12">
        <v>6</v>
      </c>
      <c r="F37" s="8">
        <v>0.68</v>
      </c>
      <c r="G37" s="12">
        <v>46</v>
      </c>
      <c r="H37" s="8">
        <v>3.26</v>
      </c>
      <c r="I37" s="12">
        <v>0</v>
      </c>
    </row>
    <row r="38" spans="2:9" ht="15" customHeight="1" x14ac:dyDescent="0.2">
      <c r="B38" t="s">
        <v>104</v>
      </c>
      <c r="C38" s="12">
        <v>43</v>
      </c>
      <c r="D38" s="8">
        <v>1.87</v>
      </c>
      <c r="E38" s="12">
        <v>7</v>
      </c>
      <c r="F38" s="8">
        <v>0.79</v>
      </c>
      <c r="G38" s="12">
        <v>36</v>
      </c>
      <c r="H38" s="8">
        <v>2.56</v>
      </c>
      <c r="I38" s="12">
        <v>0</v>
      </c>
    </row>
    <row r="39" spans="2:9" ht="15" customHeight="1" x14ac:dyDescent="0.2">
      <c r="B39" t="s">
        <v>112</v>
      </c>
      <c r="C39" s="12">
        <v>43</v>
      </c>
      <c r="D39" s="8">
        <v>1.87</v>
      </c>
      <c r="E39" s="12">
        <v>12</v>
      </c>
      <c r="F39" s="8">
        <v>1.36</v>
      </c>
      <c r="G39" s="12">
        <v>31</v>
      </c>
      <c r="H39" s="8">
        <v>2.2000000000000002</v>
      </c>
      <c r="I39" s="12">
        <v>0</v>
      </c>
    </row>
    <row r="40" spans="2:9" ht="15" customHeight="1" x14ac:dyDescent="0.2">
      <c r="B40" t="s">
        <v>135</v>
      </c>
      <c r="C40" s="12">
        <v>38</v>
      </c>
      <c r="D40" s="8">
        <v>1.66</v>
      </c>
      <c r="E40" s="12">
        <v>5</v>
      </c>
      <c r="F40" s="8">
        <v>0.56999999999999995</v>
      </c>
      <c r="G40" s="12">
        <v>33</v>
      </c>
      <c r="H40" s="8">
        <v>2.34</v>
      </c>
      <c r="I40" s="12">
        <v>0</v>
      </c>
    </row>
    <row r="41" spans="2:9" ht="15" customHeight="1" x14ac:dyDescent="0.2">
      <c r="B41" t="s">
        <v>102</v>
      </c>
      <c r="C41" s="12">
        <v>37</v>
      </c>
      <c r="D41" s="8">
        <v>1.61</v>
      </c>
      <c r="E41" s="12">
        <v>1</v>
      </c>
      <c r="F41" s="8">
        <v>0.11</v>
      </c>
      <c r="G41" s="12">
        <v>36</v>
      </c>
      <c r="H41" s="8">
        <v>2.56</v>
      </c>
      <c r="I41" s="12">
        <v>0</v>
      </c>
    </row>
    <row r="42" spans="2:9" ht="15" customHeight="1" x14ac:dyDescent="0.2">
      <c r="B42" t="s">
        <v>103</v>
      </c>
      <c r="C42" s="12">
        <v>36</v>
      </c>
      <c r="D42" s="8">
        <v>1.57</v>
      </c>
      <c r="E42" s="12">
        <v>4</v>
      </c>
      <c r="F42" s="8">
        <v>0.45</v>
      </c>
      <c r="G42" s="12">
        <v>32</v>
      </c>
      <c r="H42" s="8">
        <v>2.27</v>
      </c>
      <c r="I42" s="12">
        <v>0</v>
      </c>
    </row>
    <row r="43" spans="2:9" ht="15" customHeight="1" x14ac:dyDescent="0.2">
      <c r="B43" t="s">
        <v>117</v>
      </c>
      <c r="C43" s="12">
        <v>36</v>
      </c>
      <c r="D43" s="8">
        <v>1.57</v>
      </c>
      <c r="E43" s="12">
        <v>1</v>
      </c>
      <c r="F43" s="8">
        <v>0.11</v>
      </c>
      <c r="G43" s="12">
        <v>35</v>
      </c>
      <c r="H43" s="8">
        <v>2.48</v>
      </c>
      <c r="I43" s="12">
        <v>0</v>
      </c>
    </row>
    <row r="46" spans="2:9" ht="33" customHeight="1" x14ac:dyDescent="0.2">
      <c r="B46" t="s">
        <v>273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160</v>
      </c>
      <c r="C47" s="12">
        <v>241</v>
      </c>
      <c r="D47" s="8">
        <v>10.5</v>
      </c>
      <c r="E47" s="12">
        <v>67</v>
      </c>
      <c r="F47" s="8">
        <v>7.6</v>
      </c>
      <c r="G47" s="12">
        <v>174</v>
      </c>
      <c r="H47" s="8">
        <v>12.35</v>
      </c>
      <c r="I47" s="12">
        <v>0</v>
      </c>
    </row>
    <row r="48" spans="2:9" ht="15" customHeight="1" x14ac:dyDescent="0.2">
      <c r="B48" t="s">
        <v>169</v>
      </c>
      <c r="C48" s="12">
        <v>101</v>
      </c>
      <c r="D48" s="8">
        <v>4.4000000000000004</v>
      </c>
      <c r="E48" s="12">
        <v>95</v>
      </c>
      <c r="F48" s="8">
        <v>10.78</v>
      </c>
      <c r="G48" s="12">
        <v>6</v>
      </c>
      <c r="H48" s="8">
        <v>0.43</v>
      </c>
      <c r="I48" s="12">
        <v>0</v>
      </c>
    </row>
    <row r="49" spans="2:9" ht="15" customHeight="1" x14ac:dyDescent="0.2">
      <c r="B49" t="s">
        <v>159</v>
      </c>
      <c r="C49" s="12">
        <v>84</v>
      </c>
      <c r="D49" s="8">
        <v>3.66</v>
      </c>
      <c r="E49" s="12">
        <v>2</v>
      </c>
      <c r="F49" s="8">
        <v>0.23</v>
      </c>
      <c r="G49" s="12">
        <v>82</v>
      </c>
      <c r="H49" s="8">
        <v>5.82</v>
      </c>
      <c r="I49" s="12">
        <v>0</v>
      </c>
    </row>
    <row r="50" spans="2:9" ht="15" customHeight="1" x14ac:dyDescent="0.2">
      <c r="B50" t="s">
        <v>162</v>
      </c>
      <c r="C50" s="12">
        <v>77</v>
      </c>
      <c r="D50" s="8">
        <v>3.36</v>
      </c>
      <c r="E50" s="12">
        <v>0</v>
      </c>
      <c r="F50" s="8">
        <v>0</v>
      </c>
      <c r="G50" s="12">
        <v>75</v>
      </c>
      <c r="H50" s="8">
        <v>5.32</v>
      </c>
      <c r="I50" s="12">
        <v>2</v>
      </c>
    </row>
    <row r="51" spans="2:9" ht="15" customHeight="1" x14ac:dyDescent="0.2">
      <c r="B51" t="s">
        <v>171</v>
      </c>
      <c r="C51" s="12">
        <v>71</v>
      </c>
      <c r="D51" s="8">
        <v>3.09</v>
      </c>
      <c r="E51" s="12">
        <v>64</v>
      </c>
      <c r="F51" s="8">
        <v>7.26</v>
      </c>
      <c r="G51" s="12">
        <v>7</v>
      </c>
      <c r="H51" s="8">
        <v>0.5</v>
      </c>
      <c r="I51" s="12">
        <v>0</v>
      </c>
    </row>
    <row r="52" spans="2:9" ht="15" customHeight="1" x14ac:dyDescent="0.2">
      <c r="B52" t="s">
        <v>167</v>
      </c>
      <c r="C52" s="12">
        <v>55</v>
      </c>
      <c r="D52" s="8">
        <v>2.4</v>
      </c>
      <c r="E52" s="12">
        <v>47</v>
      </c>
      <c r="F52" s="8">
        <v>5.33</v>
      </c>
      <c r="G52" s="12">
        <v>8</v>
      </c>
      <c r="H52" s="8">
        <v>0.56999999999999995</v>
      </c>
      <c r="I52" s="12">
        <v>0</v>
      </c>
    </row>
    <row r="53" spans="2:9" ht="15" customHeight="1" x14ac:dyDescent="0.2">
      <c r="B53" t="s">
        <v>158</v>
      </c>
      <c r="C53" s="12">
        <v>47</v>
      </c>
      <c r="D53" s="8">
        <v>2.0499999999999998</v>
      </c>
      <c r="E53" s="12">
        <v>5</v>
      </c>
      <c r="F53" s="8">
        <v>0.56999999999999995</v>
      </c>
      <c r="G53" s="12">
        <v>42</v>
      </c>
      <c r="H53" s="8">
        <v>2.98</v>
      </c>
      <c r="I53" s="12">
        <v>0</v>
      </c>
    </row>
    <row r="54" spans="2:9" ht="15" customHeight="1" x14ac:dyDescent="0.2">
      <c r="B54" t="s">
        <v>164</v>
      </c>
      <c r="C54" s="12">
        <v>47</v>
      </c>
      <c r="D54" s="8">
        <v>2.0499999999999998</v>
      </c>
      <c r="E54" s="12">
        <v>39</v>
      </c>
      <c r="F54" s="8">
        <v>4.43</v>
      </c>
      <c r="G54" s="12">
        <v>8</v>
      </c>
      <c r="H54" s="8">
        <v>0.56999999999999995</v>
      </c>
      <c r="I54" s="12">
        <v>0</v>
      </c>
    </row>
    <row r="55" spans="2:9" ht="15" customHeight="1" x14ac:dyDescent="0.2">
      <c r="B55" t="s">
        <v>170</v>
      </c>
      <c r="C55" s="12">
        <v>44</v>
      </c>
      <c r="D55" s="8">
        <v>1.92</v>
      </c>
      <c r="E55" s="12">
        <v>36</v>
      </c>
      <c r="F55" s="8">
        <v>4.09</v>
      </c>
      <c r="G55" s="12">
        <v>8</v>
      </c>
      <c r="H55" s="8">
        <v>0.56999999999999995</v>
      </c>
      <c r="I55" s="12">
        <v>0</v>
      </c>
    </row>
    <row r="56" spans="2:9" ht="15" customHeight="1" x14ac:dyDescent="0.2">
      <c r="B56" t="s">
        <v>215</v>
      </c>
      <c r="C56" s="12">
        <v>43</v>
      </c>
      <c r="D56" s="8">
        <v>1.87</v>
      </c>
      <c r="E56" s="12">
        <v>12</v>
      </c>
      <c r="F56" s="8">
        <v>1.36</v>
      </c>
      <c r="G56" s="12">
        <v>31</v>
      </c>
      <c r="H56" s="8">
        <v>2.2000000000000002</v>
      </c>
      <c r="I56" s="12">
        <v>0</v>
      </c>
    </row>
    <row r="57" spans="2:9" ht="15" customHeight="1" x14ac:dyDescent="0.2">
      <c r="B57" t="s">
        <v>190</v>
      </c>
      <c r="C57" s="12">
        <v>42</v>
      </c>
      <c r="D57" s="8">
        <v>1.83</v>
      </c>
      <c r="E57" s="12">
        <v>5</v>
      </c>
      <c r="F57" s="8">
        <v>0.56999999999999995</v>
      </c>
      <c r="G57" s="12">
        <v>37</v>
      </c>
      <c r="H57" s="8">
        <v>2.63</v>
      </c>
      <c r="I57" s="12">
        <v>0</v>
      </c>
    </row>
    <row r="58" spans="2:9" ht="15" customHeight="1" x14ac:dyDescent="0.2">
      <c r="B58" t="s">
        <v>157</v>
      </c>
      <c r="C58" s="12">
        <v>40</v>
      </c>
      <c r="D58" s="8">
        <v>1.74</v>
      </c>
      <c r="E58" s="12">
        <v>25</v>
      </c>
      <c r="F58" s="8">
        <v>2.84</v>
      </c>
      <c r="G58" s="12">
        <v>15</v>
      </c>
      <c r="H58" s="8">
        <v>1.06</v>
      </c>
      <c r="I58" s="12">
        <v>0</v>
      </c>
    </row>
    <row r="59" spans="2:9" ht="15" customHeight="1" x14ac:dyDescent="0.2">
      <c r="B59" t="s">
        <v>181</v>
      </c>
      <c r="C59" s="12">
        <v>39</v>
      </c>
      <c r="D59" s="8">
        <v>1.7</v>
      </c>
      <c r="E59" s="12">
        <v>36</v>
      </c>
      <c r="F59" s="8">
        <v>4.09</v>
      </c>
      <c r="G59" s="12">
        <v>3</v>
      </c>
      <c r="H59" s="8">
        <v>0.21</v>
      </c>
      <c r="I59" s="12">
        <v>0</v>
      </c>
    </row>
    <row r="60" spans="2:9" ht="15" customHeight="1" x14ac:dyDescent="0.2">
      <c r="B60" t="s">
        <v>168</v>
      </c>
      <c r="C60" s="12">
        <v>38</v>
      </c>
      <c r="D60" s="8">
        <v>1.66</v>
      </c>
      <c r="E60" s="12">
        <v>32</v>
      </c>
      <c r="F60" s="8">
        <v>3.63</v>
      </c>
      <c r="G60" s="12">
        <v>6</v>
      </c>
      <c r="H60" s="8">
        <v>0.43</v>
      </c>
      <c r="I60" s="12">
        <v>0</v>
      </c>
    </row>
    <row r="61" spans="2:9" ht="15" customHeight="1" x14ac:dyDescent="0.2">
      <c r="B61" t="s">
        <v>152</v>
      </c>
      <c r="C61" s="12">
        <v>36</v>
      </c>
      <c r="D61" s="8">
        <v>1.57</v>
      </c>
      <c r="E61" s="12">
        <v>6</v>
      </c>
      <c r="F61" s="8">
        <v>0.68</v>
      </c>
      <c r="G61" s="12">
        <v>30</v>
      </c>
      <c r="H61" s="8">
        <v>2.13</v>
      </c>
      <c r="I61" s="12">
        <v>0</v>
      </c>
    </row>
    <row r="62" spans="2:9" ht="15" customHeight="1" x14ac:dyDescent="0.2">
      <c r="B62" t="s">
        <v>233</v>
      </c>
      <c r="C62" s="12">
        <v>34</v>
      </c>
      <c r="D62" s="8">
        <v>1.48</v>
      </c>
      <c r="E62" s="12">
        <v>5</v>
      </c>
      <c r="F62" s="8">
        <v>0.56999999999999995</v>
      </c>
      <c r="G62" s="12">
        <v>29</v>
      </c>
      <c r="H62" s="8">
        <v>2.06</v>
      </c>
      <c r="I62" s="12">
        <v>0</v>
      </c>
    </row>
    <row r="63" spans="2:9" ht="15" customHeight="1" x14ac:dyDescent="0.2">
      <c r="B63" t="s">
        <v>210</v>
      </c>
      <c r="C63" s="12">
        <v>30</v>
      </c>
      <c r="D63" s="8">
        <v>1.31</v>
      </c>
      <c r="E63" s="12">
        <v>3</v>
      </c>
      <c r="F63" s="8">
        <v>0.34</v>
      </c>
      <c r="G63" s="12">
        <v>27</v>
      </c>
      <c r="H63" s="8">
        <v>1.92</v>
      </c>
      <c r="I63" s="12">
        <v>0</v>
      </c>
    </row>
    <row r="64" spans="2:9" ht="15" customHeight="1" x14ac:dyDescent="0.2">
      <c r="B64" t="s">
        <v>153</v>
      </c>
      <c r="C64" s="12">
        <v>30</v>
      </c>
      <c r="D64" s="8">
        <v>1.31</v>
      </c>
      <c r="E64" s="12">
        <v>7</v>
      </c>
      <c r="F64" s="8">
        <v>0.79</v>
      </c>
      <c r="G64" s="12">
        <v>23</v>
      </c>
      <c r="H64" s="8">
        <v>1.63</v>
      </c>
      <c r="I64" s="12">
        <v>0</v>
      </c>
    </row>
    <row r="65" spans="2:9" ht="15" customHeight="1" x14ac:dyDescent="0.2">
      <c r="B65" t="s">
        <v>196</v>
      </c>
      <c r="C65" s="12">
        <v>30</v>
      </c>
      <c r="D65" s="8">
        <v>1.31</v>
      </c>
      <c r="E65" s="12">
        <v>16</v>
      </c>
      <c r="F65" s="8">
        <v>1.82</v>
      </c>
      <c r="G65" s="12">
        <v>14</v>
      </c>
      <c r="H65" s="8">
        <v>0.99</v>
      </c>
      <c r="I65" s="12">
        <v>0</v>
      </c>
    </row>
    <row r="66" spans="2:9" ht="15" customHeight="1" x14ac:dyDescent="0.2">
      <c r="B66" t="s">
        <v>154</v>
      </c>
      <c r="C66" s="12">
        <v>29</v>
      </c>
      <c r="D66" s="8">
        <v>1.26</v>
      </c>
      <c r="E66" s="12">
        <v>3</v>
      </c>
      <c r="F66" s="8">
        <v>0.34</v>
      </c>
      <c r="G66" s="12">
        <v>26</v>
      </c>
      <c r="H66" s="8">
        <v>1.85</v>
      </c>
      <c r="I66" s="12">
        <v>0</v>
      </c>
    </row>
    <row r="67" spans="2:9" ht="15" customHeight="1" x14ac:dyDescent="0.2">
      <c r="B67" t="s">
        <v>155</v>
      </c>
      <c r="C67" s="12">
        <v>29</v>
      </c>
      <c r="D67" s="8">
        <v>1.26</v>
      </c>
      <c r="E67" s="12">
        <v>18</v>
      </c>
      <c r="F67" s="8">
        <v>2.04</v>
      </c>
      <c r="G67" s="12">
        <v>11</v>
      </c>
      <c r="H67" s="8">
        <v>0.78</v>
      </c>
      <c r="I67" s="12">
        <v>0</v>
      </c>
    </row>
    <row r="69" spans="2:9" ht="15" customHeight="1" x14ac:dyDescent="0.2">
      <c r="B69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E8119-9C87-442B-9C7F-B06A7DC1319A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327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167</v>
      </c>
      <c r="D6" s="8">
        <v>12.22</v>
      </c>
      <c r="E6" s="12">
        <v>43</v>
      </c>
      <c r="F6" s="8">
        <v>6.05</v>
      </c>
      <c r="G6" s="12">
        <v>124</v>
      </c>
      <c r="H6" s="8">
        <v>19.2</v>
      </c>
      <c r="I6" s="12">
        <v>0</v>
      </c>
    </row>
    <row r="7" spans="2:9" ht="15" customHeight="1" x14ac:dyDescent="0.2">
      <c r="B7" t="s">
        <v>77</v>
      </c>
      <c r="C7" s="12">
        <v>205</v>
      </c>
      <c r="D7" s="8">
        <v>15</v>
      </c>
      <c r="E7" s="12">
        <v>67</v>
      </c>
      <c r="F7" s="8">
        <v>9.42</v>
      </c>
      <c r="G7" s="12">
        <v>138</v>
      </c>
      <c r="H7" s="8">
        <v>21.36</v>
      </c>
      <c r="I7" s="12">
        <v>0</v>
      </c>
    </row>
    <row r="8" spans="2:9" ht="15" customHeight="1" x14ac:dyDescent="0.2">
      <c r="B8" t="s">
        <v>78</v>
      </c>
      <c r="C8" s="12">
        <v>1</v>
      </c>
      <c r="D8" s="8">
        <v>7.0000000000000007E-2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79</v>
      </c>
      <c r="C9" s="12">
        <v>2</v>
      </c>
      <c r="D9" s="8">
        <v>0.15</v>
      </c>
      <c r="E9" s="12">
        <v>0</v>
      </c>
      <c r="F9" s="8">
        <v>0</v>
      </c>
      <c r="G9" s="12">
        <v>2</v>
      </c>
      <c r="H9" s="8">
        <v>0.31</v>
      </c>
      <c r="I9" s="12">
        <v>0</v>
      </c>
    </row>
    <row r="10" spans="2:9" ht="15" customHeight="1" x14ac:dyDescent="0.2">
      <c r="B10" t="s">
        <v>80</v>
      </c>
      <c r="C10" s="12">
        <v>11</v>
      </c>
      <c r="D10" s="8">
        <v>0.8</v>
      </c>
      <c r="E10" s="12">
        <v>3</v>
      </c>
      <c r="F10" s="8">
        <v>0.42</v>
      </c>
      <c r="G10" s="12">
        <v>8</v>
      </c>
      <c r="H10" s="8">
        <v>1.24</v>
      </c>
      <c r="I10" s="12">
        <v>0</v>
      </c>
    </row>
    <row r="11" spans="2:9" ht="15" customHeight="1" x14ac:dyDescent="0.2">
      <c r="B11" t="s">
        <v>81</v>
      </c>
      <c r="C11" s="12">
        <v>282</v>
      </c>
      <c r="D11" s="8">
        <v>20.63</v>
      </c>
      <c r="E11" s="12">
        <v>179</v>
      </c>
      <c r="F11" s="8">
        <v>25.18</v>
      </c>
      <c r="G11" s="12">
        <v>102</v>
      </c>
      <c r="H11" s="8">
        <v>15.79</v>
      </c>
      <c r="I11" s="12">
        <v>1</v>
      </c>
    </row>
    <row r="12" spans="2:9" ht="15" customHeight="1" x14ac:dyDescent="0.2">
      <c r="B12" t="s">
        <v>82</v>
      </c>
      <c r="C12" s="12">
        <v>5</v>
      </c>
      <c r="D12" s="8">
        <v>0.37</v>
      </c>
      <c r="E12" s="12">
        <v>0</v>
      </c>
      <c r="F12" s="8">
        <v>0</v>
      </c>
      <c r="G12" s="12">
        <v>5</v>
      </c>
      <c r="H12" s="8">
        <v>0.77</v>
      </c>
      <c r="I12" s="12">
        <v>0</v>
      </c>
    </row>
    <row r="13" spans="2:9" ht="15" customHeight="1" x14ac:dyDescent="0.2">
      <c r="B13" t="s">
        <v>83</v>
      </c>
      <c r="C13" s="12">
        <v>177</v>
      </c>
      <c r="D13" s="8">
        <v>12.95</v>
      </c>
      <c r="E13" s="12">
        <v>65</v>
      </c>
      <c r="F13" s="8">
        <v>9.14</v>
      </c>
      <c r="G13" s="12">
        <v>111</v>
      </c>
      <c r="H13" s="8">
        <v>17.18</v>
      </c>
      <c r="I13" s="12">
        <v>1</v>
      </c>
    </row>
    <row r="14" spans="2:9" ht="15" customHeight="1" x14ac:dyDescent="0.2">
      <c r="B14" t="s">
        <v>84</v>
      </c>
      <c r="C14" s="12">
        <v>33</v>
      </c>
      <c r="D14" s="8">
        <v>2.41</v>
      </c>
      <c r="E14" s="12">
        <v>19</v>
      </c>
      <c r="F14" s="8">
        <v>2.67</v>
      </c>
      <c r="G14" s="12">
        <v>14</v>
      </c>
      <c r="H14" s="8">
        <v>2.17</v>
      </c>
      <c r="I14" s="12">
        <v>0</v>
      </c>
    </row>
    <row r="15" spans="2:9" ht="15" customHeight="1" x14ac:dyDescent="0.2">
      <c r="B15" t="s">
        <v>85</v>
      </c>
      <c r="C15" s="12">
        <v>131</v>
      </c>
      <c r="D15" s="8">
        <v>9.58</v>
      </c>
      <c r="E15" s="12">
        <v>107</v>
      </c>
      <c r="F15" s="8">
        <v>15.05</v>
      </c>
      <c r="G15" s="12">
        <v>24</v>
      </c>
      <c r="H15" s="8">
        <v>3.72</v>
      </c>
      <c r="I15" s="12">
        <v>0</v>
      </c>
    </row>
    <row r="16" spans="2:9" ht="15" customHeight="1" x14ac:dyDescent="0.2">
      <c r="B16" t="s">
        <v>86</v>
      </c>
      <c r="C16" s="12">
        <v>176</v>
      </c>
      <c r="D16" s="8">
        <v>12.87</v>
      </c>
      <c r="E16" s="12">
        <v>124</v>
      </c>
      <c r="F16" s="8">
        <v>17.440000000000001</v>
      </c>
      <c r="G16" s="12">
        <v>50</v>
      </c>
      <c r="H16" s="8">
        <v>7.74</v>
      </c>
      <c r="I16" s="12">
        <v>0</v>
      </c>
    </row>
    <row r="17" spans="2:9" ht="15" customHeight="1" x14ac:dyDescent="0.2">
      <c r="B17" t="s">
        <v>87</v>
      </c>
      <c r="C17" s="12">
        <v>44</v>
      </c>
      <c r="D17" s="8">
        <v>3.22</v>
      </c>
      <c r="E17" s="12">
        <v>37</v>
      </c>
      <c r="F17" s="8">
        <v>5.2</v>
      </c>
      <c r="G17" s="12">
        <v>6</v>
      </c>
      <c r="H17" s="8">
        <v>0.93</v>
      </c>
      <c r="I17" s="12">
        <v>0</v>
      </c>
    </row>
    <row r="18" spans="2:9" ht="15" customHeight="1" x14ac:dyDescent="0.2">
      <c r="B18" t="s">
        <v>88</v>
      </c>
      <c r="C18" s="12">
        <v>92</v>
      </c>
      <c r="D18" s="8">
        <v>6.73</v>
      </c>
      <c r="E18" s="12">
        <v>45</v>
      </c>
      <c r="F18" s="8">
        <v>6.33</v>
      </c>
      <c r="G18" s="12">
        <v>44</v>
      </c>
      <c r="H18" s="8">
        <v>6.81</v>
      </c>
      <c r="I18" s="12">
        <v>0</v>
      </c>
    </row>
    <row r="19" spans="2:9" ht="15" customHeight="1" x14ac:dyDescent="0.2">
      <c r="B19" t="s">
        <v>89</v>
      </c>
      <c r="C19" s="12">
        <v>41</v>
      </c>
      <c r="D19" s="8">
        <v>3</v>
      </c>
      <c r="E19" s="12">
        <v>22</v>
      </c>
      <c r="F19" s="8">
        <v>3.09</v>
      </c>
      <c r="G19" s="12">
        <v>18</v>
      </c>
      <c r="H19" s="8">
        <v>2.79</v>
      </c>
      <c r="I19" s="12">
        <v>0</v>
      </c>
    </row>
    <row r="20" spans="2:9" ht="15" customHeight="1" x14ac:dyDescent="0.2">
      <c r="B20" s="9" t="s">
        <v>271</v>
      </c>
      <c r="C20" s="12">
        <f>SUM(LTBL_27221[総数／事業所数])</f>
        <v>1367</v>
      </c>
      <c r="E20" s="12">
        <f>SUBTOTAL(109,LTBL_27221[個人／事業所数])</f>
        <v>711</v>
      </c>
      <c r="G20" s="12">
        <f>SUBTOTAL(109,LTBL_27221[法人／事業所数])</f>
        <v>646</v>
      </c>
      <c r="I20" s="12">
        <f>SUBTOTAL(109,LTBL_27221[法人以外の団体／事業所数])</f>
        <v>2</v>
      </c>
    </row>
    <row r="21" spans="2:9" ht="15" customHeight="1" x14ac:dyDescent="0.2">
      <c r="E21" s="11">
        <f>LTBL_27221[[#Totals],[個人／事業所数]]/LTBL_27221[[#Totals],[総数／事業所数]]</f>
        <v>0.52011704462326258</v>
      </c>
      <c r="G21" s="11">
        <f>LTBL_27221[[#Totals],[法人／事業所数]]/LTBL_27221[[#Totals],[総数／事業所数]]</f>
        <v>0.47256766642282372</v>
      </c>
      <c r="I21" s="11">
        <f>LTBL_27221[[#Totals],[法人以外の団体／事業所数]]/LTBL_27221[[#Totals],[総数／事業所数]]</f>
        <v>1.463057790782736E-3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110</v>
      </c>
      <c r="C24" s="12">
        <v>154</v>
      </c>
      <c r="D24" s="8">
        <v>11.27</v>
      </c>
      <c r="E24" s="12">
        <v>61</v>
      </c>
      <c r="F24" s="8">
        <v>8.58</v>
      </c>
      <c r="G24" s="12">
        <v>92</v>
      </c>
      <c r="H24" s="8">
        <v>14.24</v>
      </c>
      <c r="I24" s="12">
        <v>1</v>
      </c>
    </row>
    <row r="25" spans="2:9" ht="15" customHeight="1" x14ac:dyDescent="0.2">
      <c r="B25" t="s">
        <v>114</v>
      </c>
      <c r="C25" s="12">
        <v>123</v>
      </c>
      <c r="D25" s="8">
        <v>9</v>
      </c>
      <c r="E25" s="12">
        <v>108</v>
      </c>
      <c r="F25" s="8">
        <v>15.19</v>
      </c>
      <c r="G25" s="12">
        <v>15</v>
      </c>
      <c r="H25" s="8">
        <v>2.3199999999999998</v>
      </c>
      <c r="I25" s="12">
        <v>0</v>
      </c>
    </row>
    <row r="26" spans="2:9" ht="15" customHeight="1" x14ac:dyDescent="0.2">
      <c r="B26" t="s">
        <v>113</v>
      </c>
      <c r="C26" s="12">
        <v>119</v>
      </c>
      <c r="D26" s="8">
        <v>8.7100000000000009</v>
      </c>
      <c r="E26" s="12">
        <v>101</v>
      </c>
      <c r="F26" s="8">
        <v>14.21</v>
      </c>
      <c r="G26" s="12">
        <v>18</v>
      </c>
      <c r="H26" s="8">
        <v>2.79</v>
      </c>
      <c r="I26" s="12">
        <v>0</v>
      </c>
    </row>
    <row r="27" spans="2:9" ht="15" customHeight="1" x14ac:dyDescent="0.2">
      <c r="B27" t="s">
        <v>108</v>
      </c>
      <c r="C27" s="12">
        <v>86</v>
      </c>
      <c r="D27" s="8">
        <v>6.29</v>
      </c>
      <c r="E27" s="12">
        <v>57</v>
      </c>
      <c r="F27" s="8">
        <v>8.02</v>
      </c>
      <c r="G27" s="12">
        <v>29</v>
      </c>
      <c r="H27" s="8">
        <v>4.49</v>
      </c>
      <c r="I27" s="12">
        <v>0</v>
      </c>
    </row>
    <row r="28" spans="2:9" ht="15" customHeight="1" x14ac:dyDescent="0.2">
      <c r="B28" t="s">
        <v>98</v>
      </c>
      <c r="C28" s="12">
        <v>78</v>
      </c>
      <c r="D28" s="8">
        <v>5.71</v>
      </c>
      <c r="E28" s="12">
        <v>17</v>
      </c>
      <c r="F28" s="8">
        <v>2.39</v>
      </c>
      <c r="G28" s="12">
        <v>61</v>
      </c>
      <c r="H28" s="8">
        <v>9.44</v>
      </c>
      <c r="I28" s="12">
        <v>0</v>
      </c>
    </row>
    <row r="29" spans="2:9" ht="15" customHeight="1" x14ac:dyDescent="0.2">
      <c r="B29" t="s">
        <v>106</v>
      </c>
      <c r="C29" s="12">
        <v>67</v>
      </c>
      <c r="D29" s="8">
        <v>4.9000000000000004</v>
      </c>
      <c r="E29" s="12">
        <v>53</v>
      </c>
      <c r="F29" s="8">
        <v>7.45</v>
      </c>
      <c r="G29" s="12">
        <v>13</v>
      </c>
      <c r="H29" s="8">
        <v>2.0099999999999998</v>
      </c>
      <c r="I29" s="12">
        <v>1</v>
      </c>
    </row>
    <row r="30" spans="2:9" ht="15" customHeight="1" x14ac:dyDescent="0.2">
      <c r="B30" t="s">
        <v>116</v>
      </c>
      <c r="C30" s="12">
        <v>53</v>
      </c>
      <c r="D30" s="8">
        <v>3.88</v>
      </c>
      <c r="E30" s="12">
        <v>45</v>
      </c>
      <c r="F30" s="8">
        <v>6.33</v>
      </c>
      <c r="G30" s="12">
        <v>8</v>
      </c>
      <c r="H30" s="8">
        <v>1.24</v>
      </c>
      <c r="I30" s="12">
        <v>0</v>
      </c>
    </row>
    <row r="31" spans="2:9" ht="15" customHeight="1" x14ac:dyDescent="0.2">
      <c r="B31" t="s">
        <v>99</v>
      </c>
      <c r="C31" s="12">
        <v>48</v>
      </c>
      <c r="D31" s="8">
        <v>3.51</v>
      </c>
      <c r="E31" s="12">
        <v>17</v>
      </c>
      <c r="F31" s="8">
        <v>2.39</v>
      </c>
      <c r="G31" s="12">
        <v>31</v>
      </c>
      <c r="H31" s="8">
        <v>4.8</v>
      </c>
      <c r="I31" s="12">
        <v>0</v>
      </c>
    </row>
    <row r="32" spans="2:9" ht="15" customHeight="1" x14ac:dyDescent="0.2">
      <c r="B32" t="s">
        <v>115</v>
      </c>
      <c r="C32" s="12">
        <v>44</v>
      </c>
      <c r="D32" s="8">
        <v>3.22</v>
      </c>
      <c r="E32" s="12">
        <v>37</v>
      </c>
      <c r="F32" s="8">
        <v>5.2</v>
      </c>
      <c r="G32" s="12">
        <v>6</v>
      </c>
      <c r="H32" s="8">
        <v>0.93</v>
      </c>
      <c r="I32" s="12">
        <v>0</v>
      </c>
    </row>
    <row r="33" spans="2:9" ht="15" customHeight="1" x14ac:dyDescent="0.2">
      <c r="B33" t="s">
        <v>130</v>
      </c>
      <c r="C33" s="12">
        <v>43</v>
      </c>
      <c r="D33" s="8">
        <v>3.15</v>
      </c>
      <c r="E33" s="12">
        <v>10</v>
      </c>
      <c r="F33" s="8">
        <v>1.41</v>
      </c>
      <c r="G33" s="12">
        <v>32</v>
      </c>
      <c r="H33" s="8">
        <v>4.95</v>
      </c>
      <c r="I33" s="12">
        <v>0</v>
      </c>
    </row>
    <row r="34" spans="2:9" ht="15" customHeight="1" x14ac:dyDescent="0.2">
      <c r="B34" t="s">
        <v>100</v>
      </c>
      <c r="C34" s="12">
        <v>41</v>
      </c>
      <c r="D34" s="8">
        <v>3</v>
      </c>
      <c r="E34" s="12">
        <v>9</v>
      </c>
      <c r="F34" s="8">
        <v>1.27</v>
      </c>
      <c r="G34" s="12">
        <v>32</v>
      </c>
      <c r="H34" s="8">
        <v>4.95</v>
      </c>
      <c r="I34" s="12">
        <v>0</v>
      </c>
    </row>
    <row r="35" spans="2:9" ht="15" customHeight="1" x14ac:dyDescent="0.2">
      <c r="B35" t="s">
        <v>117</v>
      </c>
      <c r="C35" s="12">
        <v>39</v>
      </c>
      <c r="D35" s="8">
        <v>2.85</v>
      </c>
      <c r="E35" s="12">
        <v>0</v>
      </c>
      <c r="F35" s="8">
        <v>0</v>
      </c>
      <c r="G35" s="12">
        <v>36</v>
      </c>
      <c r="H35" s="8">
        <v>5.57</v>
      </c>
      <c r="I35" s="12">
        <v>0</v>
      </c>
    </row>
    <row r="36" spans="2:9" ht="15" customHeight="1" x14ac:dyDescent="0.2">
      <c r="B36" t="s">
        <v>101</v>
      </c>
      <c r="C36" s="12">
        <v>36</v>
      </c>
      <c r="D36" s="8">
        <v>2.63</v>
      </c>
      <c r="E36" s="12">
        <v>9</v>
      </c>
      <c r="F36" s="8">
        <v>1.27</v>
      </c>
      <c r="G36" s="12">
        <v>27</v>
      </c>
      <c r="H36" s="8">
        <v>4.18</v>
      </c>
      <c r="I36" s="12">
        <v>0</v>
      </c>
    </row>
    <row r="37" spans="2:9" ht="15" customHeight="1" x14ac:dyDescent="0.2">
      <c r="B37" t="s">
        <v>107</v>
      </c>
      <c r="C37" s="12">
        <v>36</v>
      </c>
      <c r="D37" s="8">
        <v>2.63</v>
      </c>
      <c r="E37" s="12">
        <v>28</v>
      </c>
      <c r="F37" s="8">
        <v>3.94</v>
      </c>
      <c r="G37" s="12">
        <v>8</v>
      </c>
      <c r="H37" s="8">
        <v>1.24</v>
      </c>
      <c r="I37" s="12">
        <v>0</v>
      </c>
    </row>
    <row r="38" spans="2:9" ht="15" customHeight="1" x14ac:dyDescent="0.2">
      <c r="B38" t="s">
        <v>105</v>
      </c>
      <c r="C38" s="12">
        <v>34</v>
      </c>
      <c r="D38" s="8">
        <v>2.4900000000000002</v>
      </c>
      <c r="E38" s="12">
        <v>29</v>
      </c>
      <c r="F38" s="8">
        <v>4.08</v>
      </c>
      <c r="G38" s="12">
        <v>5</v>
      </c>
      <c r="H38" s="8">
        <v>0.77</v>
      </c>
      <c r="I38" s="12">
        <v>0</v>
      </c>
    </row>
    <row r="39" spans="2:9" ht="15" customHeight="1" x14ac:dyDescent="0.2">
      <c r="B39" t="s">
        <v>132</v>
      </c>
      <c r="C39" s="12">
        <v>22</v>
      </c>
      <c r="D39" s="8">
        <v>1.61</v>
      </c>
      <c r="E39" s="12">
        <v>7</v>
      </c>
      <c r="F39" s="8">
        <v>0.98</v>
      </c>
      <c r="G39" s="12">
        <v>15</v>
      </c>
      <c r="H39" s="8">
        <v>2.3199999999999998</v>
      </c>
      <c r="I39" s="12">
        <v>0</v>
      </c>
    </row>
    <row r="40" spans="2:9" ht="15" customHeight="1" x14ac:dyDescent="0.2">
      <c r="B40" t="s">
        <v>111</v>
      </c>
      <c r="C40" s="12">
        <v>21</v>
      </c>
      <c r="D40" s="8">
        <v>1.54</v>
      </c>
      <c r="E40" s="12">
        <v>14</v>
      </c>
      <c r="F40" s="8">
        <v>1.97</v>
      </c>
      <c r="G40" s="12">
        <v>7</v>
      </c>
      <c r="H40" s="8">
        <v>1.08</v>
      </c>
      <c r="I40" s="12">
        <v>0</v>
      </c>
    </row>
    <row r="41" spans="2:9" ht="15" customHeight="1" x14ac:dyDescent="0.2">
      <c r="B41" t="s">
        <v>127</v>
      </c>
      <c r="C41" s="12">
        <v>20</v>
      </c>
      <c r="D41" s="8">
        <v>1.46</v>
      </c>
      <c r="E41" s="12">
        <v>5</v>
      </c>
      <c r="F41" s="8">
        <v>0.7</v>
      </c>
      <c r="G41" s="12">
        <v>15</v>
      </c>
      <c r="H41" s="8">
        <v>2.3199999999999998</v>
      </c>
      <c r="I41" s="12">
        <v>0</v>
      </c>
    </row>
    <row r="42" spans="2:9" ht="15" customHeight="1" x14ac:dyDescent="0.2">
      <c r="B42" t="s">
        <v>109</v>
      </c>
      <c r="C42" s="12">
        <v>20</v>
      </c>
      <c r="D42" s="8">
        <v>1.46</v>
      </c>
      <c r="E42" s="12">
        <v>3</v>
      </c>
      <c r="F42" s="8">
        <v>0.42</v>
      </c>
      <c r="G42" s="12">
        <v>17</v>
      </c>
      <c r="H42" s="8">
        <v>2.63</v>
      </c>
      <c r="I42" s="12">
        <v>0</v>
      </c>
    </row>
    <row r="43" spans="2:9" ht="15" customHeight="1" x14ac:dyDescent="0.2">
      <c r="B43" t="s">
        <v>126</v>
      </c>
      <c r="C43" s="12">
        <v>18</v>
      </c>
      <c r="D43" s="8">
        <v>1.32</v>
      </c>
      <c r="E43" s="12">
        <v>5</v>
      </c>
      <c r="F43" s="8">
        <v>0.7</v>
      </c>
      <c r="G43" s="12">
        <v>13</v>
      </c>
      <c r="H43" s="8">
        <v>2.0099999999999998</v>
      </c>
      <c r="I43" s="12">
        <v>0</v>
      </c>
    </row>
    <row r="44" spans="2:9" ht="15" customHeight="1" x14ac:dyDescent="0.2">
      <c r="B44" t="s">
        <v>102</v>
      </c>
      <c r="C44" s="12">
        <v>18</v>
      </c>
      <c r="D44" s="8">
        <v>1.32</v>
      </c>
      <c r="E44" s="12">
        <v>4</v>
      </c>
      <c r="F44" s="8">
        <v>0.56000000000000005</v>
      </c>
      <c r="G44" s="12">
        <v>14</v>
      </c>
      <c r="H44" s="8">
        <v>2.17</v>
      </c>
      <c r="I44" s="12">
        <v>0</v>
      </c>
    </row>
    <row r="47" spans="2:9" ht="33" customHeight="1" x14ac:dyDescent="0.2">
      <c r="B47" t="s">
        <v>273</v>
      </c>
      <c r="C47" s="10" t="s">
        <v>91</v>
      </c>
      <c r="D47" s="10" t="s">
        <v>92</v>
      </c>
      <c r="E47" s="10" t="s">
        <v>93</v>
      </c>
      <c r="F47" s="10" t="s">
        <v>94</v>
      </c>
      <c r="G47" s="10" t="s">
        <v>95</v>
      </c>
      <c r="H47" s="10" t="s">
        <v>96</v>
      </c>
      <c r="I47" s="10" t="s">
        <v>97</v>
      </c>
    </row>
    <row r="48" spans="2:9" ht="15" customHeight="1" x14ac:dyDescent="0.2">
      <c r="B48" t="s">
        <v>160</v>
      </c>
      <c r="C48" s="12">
        <v>65</v>
      </c>
      <c r="D48" s="8">
        <v>4.75</v>
      </c>
      <c r="E48" s="12">
        <v>25</v>
      </c>
      <c r="F48" s="8">
        <v>3.52</v>
      </c>
      <c r="G48" s="12">
        <v>40</v>
      </c>
      <c r="H48" s="8">
        <v>6.19</v>
      </c>
      <c r="I48" s="12">
        <v>0</v>
      </c>
    </row>
    <row r="49" spans="2:9" ht="15" customHeight="1" x14ac:dyDescent="0.2">
      <c r="B49" t="s">
        <v>169</v>
      </c>
      <c r="C49" s="12">
        <v>64</v>
      </c>
      <c r="D49" s="8">
        <v>4.68</v>
      </c>
      <c r="E49" s="12">
        <v>52</v>
      </c>
      <c r="F49" s="8">
        <v>7.31</v>
      </c>
      <c r="G49" s="12">
        <v>12</v>
      </c>
      <c r="H49" s="8">
        <v>1.86</v>
      </c>
      <c r="I49" s="12">
        <v>0</v>
      </c>
    </row>
    <row r="50" spans="2:9" ht="15" customHeight="1" x14ac:dyDescent="0.2">
      <c r="B50" t="s">
        <v>171</v>
      </c>
      <c r="C50" s="12">
        <v>45</v>
      </c>
      <c r="D50" s="8">
        <v>3.29</v>
      </c>
      <c r="E50" s="12">
        <v>37</v>
      </c>
      <c r="F50" s="8">
        <v>5.2</v>
      </c>
      <c r="G50" s="12">
        <v>8</v>
      </c>
      <c r="H50" s="8">
        <v>1.24</v>
      </c>
      <c r="I50" s="12">
        <v>0</v>
      </c>
    </row>
    <row r="51" spans="2:9" ht="15" customHeight="1" x14ac:dyDescent="0.2">
      <c r="B51" t="s">
        <v>168</v>
      </c>
      <c r="C51" s="12">
        <v>36</v>
      </c>
      <c r="D51" s="8">
        <v>2.63</v>
      </c>
      <c r="E51" s="12">
        <v>34</v>
      </c>
      <c r="F51" s="8">
        <v>4.78</v>
      </c>
      <c r="G51" s="12">
        <v>2</v>
      </c>
      <c r="H51" s="8">
        <v>0.31</v>
      </c>
      <c r="I51" s="12">
        <v>0</v>
      </c>
    </row>
    <row r="52" spans="2:9" ht="15" customHeight="1" x14ac:dyDescent="0.2">
      <c r="B52" t="s">
        <v>157</v>
      </c>
      <c r="C52" s="12">
        <v>35</v>
      </c>
      <c r="D52" s="8">
        <v>2.56</v>
      </c>
      <c r="E52" s="12">
        <v>27</v>
      </c>
      <c r="F52" s="8">
        <v>3.8</v>
      </c>
      <c r="G52" s="12">
        <v>8</v>
      </c>
      <c r="H52" s="8">
        <v>1.24</v>
      </c>
      <c r="I52" s="12">
        <v>0</v>
      </c>
    </row>
    <row r="53" spans="2:9" ht="15" customHeight="1" x14ac:dyDescent="0.2">
      <c r="B53" t="s">
        <v>161</v>
      </c>
      <c r="C53" s="12">
        <v>33</v>
      </c>
      <c r="D53" s="8">
        <v>2.41</v>
      </c>
      <c r="E53" s="12">
        <v>29</v>
      </c>
      <c r="F53" s="8">
        <v>4.08</v>
      </c>
      <c r="G53" s="12">
        <v>4</v>
      </c>
      <c r="H53" s="8">
        <v>0.62</v>
      </c>
      <c r="I53" s="12">
        <v>0</v>
      </c>
    </row>
    <row r="54" spans="2:9" ht="15" customHeight="1" x14ac:dyDescent="0.2">
      <c r="B54" t="s">
        <v>167</v>
      </c>
      <c r="C54" s="12">
        <v>31</v>
      </c>
      <c r="D54" s="8">
        <v>2.27</v>
      </c>
      <c r="E54" s="12">
        <v>27</v>
      </c>
      <c r="F54" s="8">
        <v>3.8</v>
      </c>
      <c r="G54" s="12">
        <v>4</v>
      </c>
      <c r="H54" s="8">
        <v>0.62</v>
      </c>
      <c r="I54" s="12">
        <v>0</v>
      </c>
    </row>
    <row r="55" spans="2:9" ht="15" customHeight="1" x14ac:dyDescent="0.2">
      <c r="B55" t="s">
        <v>159</v>
      </c>
      <c r="C55" s="12">
        <v>30</v>
      </c>
      <c r="D55" s="8">
        <v>2.19</v>
      </c>
      <c r="E55" s="12">
        <v>3</v>
      </c>
      <c r="F55" s="8">
        <v>0.42</v>
      </c>
      <c r="G55" s="12">
        <v>27</v>
      </c>
      <c r="H55" s="8">
        <v>4.18</v>
      </c>
      <c r="I55" s="12">
        <v>0</v>
      </c>
    </row>
    <row r="56" spans="2:9" ht="15" customHeight="1" x14ac:dyDescent="0.2">
      <c r="B56" t="s">
        <v>190</v>
      </c>
      <c r="C56" s="12">
        <v>28</v>
      </c>
      <c r="D56" s="8">
        <v>2.0499999999999998</v>
      </c>
      <c r="E56" s="12">
        <v>4</v>
      </c>
      <c r="F56" s="8">
        <v>0.56000000000000005</v>
      </c>
      <c r="G56" s="12">
        <v>24</v>
      </c>
      <c r="H56" s="8">
        <v>3.72</v>
      </c>
      <c r="I56" s="12">
        <v>0</v>
      </c>
    </row>
    <row r="57" spans="2:9" ht="15" customHeight="1" x14ac:dyDescent="0.2">
      <c r="B57" t="s">
        <v>152</v>
      </c>
      <c r="C57" s="12">
        <v>26</v>
      </c>
      <c r="D57" s="8">
        <v>1.9</v>
      </c>
      <c r="E57" s="12">
        <v>7</v>
      </c>
      <c r="F57" s="8">
        <v>0.98</v>
      </c>
      <c r="G57" s="12">
        <v>19</v>
      </c>
      <c r="H57" s="8">
        <v>2.94</v>
      </c>
      <c r="I57" s="12">
        <v>0</v>
      </c>
    </row>
    <row r="58" spans="2:9" ht="15" customHeight="1" x14ac:dyDescent="0.2">
      <c r="B58" t="s">
        <v>162</v>
      </c>
      <c r="C58" s="12">
        <v>26</v>
      </c>
      <c r="D58" s="8">
        <v>1.9</v>
      </c>
      <c r="E58" s="12">
        <v>4</v>
      </c>
      <c r="F58" s="8">
        <v>0.56000000000000005</v>
      </c>
      <c r="G58" s="12">
        <v>21</v>
      </c>
      <c r="H58" s="8">
        <v>3.25</v>
      </c>
      <c r="I58" s="12">
        <v>1</v>
      </c>
    </row>
    <row r="59" spans="2:9" ht="15" customHeight="1" x14ac:dyDescent="0.2">
      <c r="B59" t="s">
        <v>234</v>
      </c>
      <c r="C59" s="12">
        <v>25</v>
      </c>
      <c r="D59" s="8">
        <v>1.83</v>
      </c>
      <c r="E59" s="12">
        <v>2</v>
      </c>
      <c r="F59" s="8">
        <v>0.28000000000000003</v>
      </c>
      <c r="G59" s="12">
        <v>23</v>
      </c>
      <c r="H59" s="8">
        <v>3.56</v>
      </c>
      <c r="I59" s="12">
        <v>0</v>
      </c>
    </row>
    <row r="60" spans="2:9" ht="15" customHeight="1" x14ac:dyDescent="0.2">
      <c r="B60" t="s">
        <v>170</v>
      </c>
      <c r="C60" s="12">
        <v>25</v>
      </c>
      <c r="D60" s="8">
        <v>1.83</v>
      </c>
      <c r="E60" s="12">
        <v>21</v>
      </c>
      <c r="F60" s="8">
        <v>2.95</v>
      </c>
      <c r="G60" s="12">
        <v>4</v>
      </c>
      <c r="H60" s="8">
        <v>0.62</v>
      </c>
      <c r="I60" s="12">
        <v>0</v>
      </c>
    </row>
    <row r="61" spans="2:9" ht="15" customHeight="1" x14ac:dyDescent="0.2">
      <c r="B61" t="s">
        <v>165</v>
      </c>
      <c r="C61" s="12">
        <v>24</v>
      </c>
      <c r="D61" s="8">
        <v>1.76</v>
      </c>
      <c r="E61" s="12">
        <v>22</v>
      </c>
      <c r="F61" s="8">
        <v>3.09</v>
      </c>
      <c r="G61" s="12">
        <v>2</v>
      </c>
      <c r="H61" s="8">
        <v>0.31</v>
      </c>
      <c r="I61" s="12">
        <v>0</v>
      </c>
    </row>
    <row r="62" spans="2:9" ht="15" customHeight="1" x14ac:dyDescent="0.2">
      <c r="B62" t="s">
        <v>156</v>
      </c>
      <c r="C62" s="12">
        <v>23</v>
      </c>
      <c r="D62" s="8">
        <v>1.68</v>
      </c>
      <c r="E62" s="12">
        <v>16</v>
      </c>
      <c r="F62" s="8">
        <v>2.25</v>
      </c>
      <c r="G62" s="12">
        <v>6</v>
      </c>
      <c r="H62" s="8">
        <v>0.93</v>
      </c>
      <c r="I62" s="12">
        <v>1</v>
      </c>
    </row>
    <row r="63" spans="2:9" ht="15" customHeight="1" x14ac:dyDescent="0.2">
      <c r="B63" t="s">
        <v>215</v>
      </c>
      <c r="C63" s="12">
        <v>23</v>
      </c>
      <c r="D63" s="8">
        <v>1.68</v>
      </c>
      <c r="E63" s="12">
        <v>17</v>
      </c>
      <c r="F63" s="8">
        <v>2.39</v>
      </c>
      <c r="G63" s="12">
        <v>6</v>
      </c>
      <c r="H63" s="8">
        <v>0.93</v>
      </c>
      <c r="I63" s="12">
        <v>0</v>
      </c>
    </row>
    <row r="64" spans="2:9" ht="15" customHeight="1" x14ac:dyDescent="0.2">
      <c r="B64" t="s">
        <v>153</v>
      </c>
      <c r="C64" s="12">
        <v>21</v>
      </c>
      <c r="D64" s="8">
        <v>1.54</v>
      </c>
      <c r="E64" s="12">
        <v>5</v>
      </c>
      <c r="F64" s="8">
        <v>0.7</v>
      </c>
      <c r="G64" s="12">
        <v>16</v>
      </c>
      <c r="H64" s="8">
        <v>2.48</v>
      </c>
      <c r="I64" s="12">
        <v>0</v>
      </c>
    </row>
    <row r="65" spans="2:9" ht="15" customHeight="1" x14ac:dyDescent="0.2">
      <c r="B65" t="s">
        <v>164</v>
      </c>
      <c r="C65" s="12">
        <v>21</v>
      </c>
      <c r="D65" s="8">
        <v>1.54</v>
      </c>
      <c r="E65" s="12">
        <v>16</v>
      </c>
      <c r="F65" s="8">
        <v>2.25</v>
      </c>
      <c r="G65" s="12">
        <v>5</v>
      </c>
      <c r="H65" s="8">
        <v>0.77</v>
      </c>
      <c r="I65" s="12">
        <v>0</v>
      </c>
    </row>
    <row r="66" spans="2:9" ht="15" customHeight="1" x14ac:dyDescent="0.2">
      <c r="B66" t="s">
        <v>209</v>
      </c>
      <c r="C66" s="12">
        <v>20</v>
      </c>
      <c r="D66" s="8">
        <v>1.46</v>
      </c>
      <c r="E66" s="12">
        <v>0</v>
      </c>
      <c r="F66" s="8">
        <v>0</v>
      </c>
      <c r="G66" s="12">
        <v>20</v>
      </c>
      <c r="H66" s="8">
        <v>3.1</v>
      </c>
      <c r="I66" s="12">
        <v>0</v>
      </c>
    </row>
    <row r="67" spans="2:9" ht="15" customHeight="1" x14ac:dyDescent="0.2">
      <c r="B67" t="s">
        <v>155</v>
      </c>
      <c r="C67" s="12">
        <v>18</v>
      </c>
      <c r="D67" s="8">
        <v>1.32</v>
      </c>
      <c r="E67" s="12">
        <v>15</v>
      </c>
      <c r="F67" s="8">
        <v>2.11</v>
      </c>
      <c r="G67" s="12">
        <v>3</v>
      </c>
      <c r="H67" s="8">
        <v>0.46</v>
      </c>
      <c r="I67" s="12">
        <v>0</v>
      </c>
    </row>
    <row r="69" spans="2:9" ht="15" customHeight="1" x14ac:dyDescent="0.2">
      <c r="B69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98916-DEA9-4079-9251-CB5608D80349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328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322</v>
      </c>
      <c r="D6" s="8">
        <v>14.72</v>
      </c>
      <c r="E6" s="12">
        <v>89</v>
      </c>
      <c r="F6" s="8">
        <v>7.95</v>
      </c>
      <c r="G6" s="12">
        <v>233</v>
      </c>
      <c r="H6" s="8">
        <v>22.3</v>
      </c>
      <c r="I6" s="12">
        <v>0</v>
      </c>
    </row>
    <row r="7" spans="2:9" ht="15" customHeight="1" x14ac:dyDescent="0.2">
      <c r="B7" t="s">
        <v>77</v>
      </c>
      <c r="C7" s="12">
        <v>306</v>
      </c>
      <c r="D7" s="8">
        <v>13.99</v>
      </c>
      <c r="E7" s="12">
        <v>108</v>
      </c>
      <c r="F7" s="8">
        <v>9.65</v>
      </c>
      <c r="G7" s="12">
        <v>198</v>
      </c>
      <c r="H7" s="8">
        <v>18.95</v>
      </c>
      <c r="I7" s="12">
        <v>0</v>
      </c>
    </row>
    <row r="8" spans="2:9" ht="15" customHeight="1" x14ac:dyDescent="0.2">
      <c r="B8" t="s">
        <v>78</v>
      </c>
      <c r="C8" s="12">
        <v>4</v>
      </c>
      <c r="D8" s="8">
        <v>0.18</v>
      </c>
      <c r="E8" s="12">
        <v>0</v>
      </c>
      <c r="F8" s="8">
        <v>0</v>
      </c>
      <c r="G8" s="12">
        <v>4</v>
      </c>
      <c r="H8" s="8">
        <v>0.38</v>
      </c>
      <c r="I8" s="12">
        <v>0</v>
      </c>
    </row>
    <row r="9" spans="2:9" ht="15" customHeight="1" x14ac:dyDescent="0.2">
      <c r="B9" t="s">
        <v>79</v>
      </c>
      <c r="C9" s="12">
        <v>15</v>
      </c>
      <c r="D9" s="8">
        <v>0.69</v>
      </c>
      <c r="E9" s="12">
        <v>2</v>
      </c>
      <c r="F9" s="8">
        <v>0.18</v>
      </c>
      <c r="G9" s="12">
        <v>13</v>
      </c>
      <c r="H9" s="8">
        <v>1.24</v>
      </c>
      <c r="I9" s="12">
        <v>0</v>
      </c>
    </row>
    <row r="10" spans="2:9" ht="15" customHeight="1" x14ac:dyDescent="0.2">
      <c r="B10" t="s">
        <v>80</v>
      </c>
      <c r="C10" s="12">
        <v>21</v>
      </c>
      <c r="D10" s="8">
        <v>0.96</v>
      </c>
      <c r="E10" s="12">
        <v>9</v>
      </c>
      <c r="F10" s="8">
        <v>0.8</v>
      </c>
      <c r="G10" s="12">
        <v>12</v>
      </c>
      <c r="H10" s="8">
        <v>1.1499999999999999</v>
      </c>
      <c r="I10" s="12">
        <v>0</v>
      </c>
    </row>
    <row r="11" spans="2:9" ht="15" customHeight="1" x14ac:dyDescent="0.2">
      <c r="B11" t="s">
        <v>81</v>
      </c>
      <c r="C11" s="12">
        <v>436</v>
      </c>
      <c r="D11" s="8">
        <v>19.940000000000001</v>
      </c>
      <c r="E11" s="12">
        <v>239</v>
      </c>
      <c r="F11" s="8">
        <v>21.36</v>
      </c>
      <c r="G11" s="12">
        <v>197</v>
      </c>
      <c r="H11" s="8">
        <v>18.850000000000001</v>
      </c>
      <c r="I11" s="12">
        <v>0</v>
      </c>
    </row>
    <row r="12" spans="2:9" ht="15" customHeight="1" x14ac:dyDescent="0.2">
      <c r="B12" t="s">
        <v>82</v>
      </c>
      <c r="C12" s="12">
        <v>6</v>
      </c>
      <c r="D12" s="8">
        <v>0.27</v>
      </c>
      <c r="E12" s="12">
        <v>1</v>
      </c>
      <c r="F12" s="8">
        <v>0.09</v>
      </c>
      <c r="G12" s="12">
        <v>5</v>
      </c>
      <c r="H12" s="8">
        <v>0.48</v>
      </c>
      <c r="I12" s="12">
        <v>0</v>
      </c>
    </row>
    <row r="13" spans="2:9" ht="15" customHeight="1" x14ac:dyDescent="0.2">
      <c r="B13" t="s">
        <v>83</v>
      </c>
      <c r="C13" s="12">
        <v>309</v>
      </c>
      <c r="D13" s="8">
        <v>14.13</v>
      </c>
      <c r="E13" s="12">
        <v>119</v>
      </c>
      <c r="F13" s="8">
        <v>10.63</v>
      </c>
      <c r="G13" s="12">
        <v>190</v>
      </c>
      <c r="H13" s="8">
        <v>18.18</v>
      </c>
      <c r="I13" s="12">
        <v>0</v>
      </c>
    </row>
    <row r="14" spans="2:9" ht="15" customHeight="1" x14ac:dyDescent="0.2">
      <c r="B14" t="s">
        <v>84</v>
      </c>
      <c r="C14" s="12">
        <v>90</v>
      </c>
      <c r="D14" s="8">
        <v>4.12</v>
      </c>
      <c r="E14" s="12">
        <v>42</v>
      </c>
      <c r="F14" s="8">
        <v>3.75</v>
      </c>
      <c r="G14" s="12">
        <v>48</v>
      </c>
      <c r="H14" s="8">
        <v>4.59</v>
      </c>
      <c r="I14" s="12">
        <v>0</v>
      </c>
    </row>
    <row r="15" spans="2:9" ht="15" customHeight="1" x14ac:dyDescent="0.2">
      <c r="B15" t="s">
        <v>85</v>
      </c>
      <c r="C15" s="12">
        <v>181</v>
      </c>
      <c r="D15" s="8">
        <v>8.2799999999999994</v>
      </c>
      <c r="E15" s="12">
        <v>161</v>
      </c>
      <c r="F15" s="8">
        <v>14.39</v>
      </c>
      <c r="G15" s="12">
        <v>19</v>
      </c>
      <c r="H15" s="8">
        <v>1.82</v>
      </c>
      <c r="I15" s="12">
        <v>0</v>
      </c>
    </row>
    <row r="16" spans="2:9" ht="15" customHeight="1" x14ac:dyDescent="0.2">
      <c r="B16" t="s">
        <v>86</v>
      </c>
      <c r="C16" s="12">
        <v>207</v>
      </c>
      <c r="D16" s="8">
        <v>9.4700000000000006</v>
      </c>
      <c r="E16" s="12">
        <v>172</v>
      </c>
      <c r="F16" s="8">
        <v>15.37</v>
      </c>
      <c r="G16" s="12">
        <v>34</v>
      </c>
      <c r="H16" s="8">
        <v>3.25</v>
      </c>
      <c r="I16" s="12">
        <v>0</v>
      </c>
    </row>
    <row r="17" spans="2:9" ht="15" customHeight="1" x14ac:dyDescent="0.2">
      <c r="B17" t="s">
        <v>87</v>
      </c>
      <c r="C17" s="12">
        <v>85</v>
      </c>
      <c r="D17" s="8">
        <v>3.89</v>
      </c>
      <c r="E17" s="12">
        <v>71</v>
      </c>
      <c r="F17" s="8">
        <v>6.34</v>
      </c>
      <c r="G17" s="12">
        <v>12</v>
      </c>
      <c r="H17" s="8">
        <v>1.1499999999999999</v>
      </c>
      <c r="I17" s="12">
        <v>0</v>
      </c>
    </row>
    <row r="18" spans="2:9" ht="15" customHeight="1" x14ac:dyDescent="0.2">
      <c r="B18" t="s">
        <v>88</v>
      </c>
      <c r="C18" s="12">
        <v>133</v>
      </c>
      <c r="D18" s="8">
        <v>6.08</v>
      </c>
      <c r="E18" s="12">
        <v>71</v>
      </c>
      <c r="F18" s="8">
        <v>6.34</v>
      </c>
      <c r="G18" s="12">
        <v>45</v>
      </c>
      <c r="H18" s="8">
        <v>4.3099999999999996</v>
      </c>
      <c r="I18" s="12">
        <v>1</v>
      </c>
    </row>
    <row r="19" spans="2:9" ht="15" customHeight="1" x14ac:dyDescent="0.2">
      <c r="B19" t="s">
        <v>89</v>
      </c>
      <c r="C19" s="12">
        <v>72</v>
      </c>
      <c r="D19" s="8">
        <v>3.29</v>
      </c>
      <c r="E19" s="12">
        <v>35</v>
      </c>
      <c r="F19" s="8">
        <v>3.13</v>
      </c>
      <c r="G19" s="12">
        <v>35</v>
      </c>
      <c r="H19" s="8">
        <v>3.35</v>
      </c>
      <c r="I19" s="12">
        <v>0</v>
      </c>
    </row>
    <row r="20" spans="2:9" ht="15" customHeight="1" x14ac:dyDescent="0.2">
      <c r="B20" s="9" t="s">
        <v>271</v>
      </c>
      <c r="C20" s="12">
        <f>SUM(LTBL_27222[総数／事業所数])</f>
        <v>2187</v>
      </c>
      <c r="E20" s="12">
        <f>SUBTOTAL(109,LTBL_27222[個人／事業所数])</f>
        <v>1119</v>
      </c>
      <c r="G20" s="12">
        <f>SUBTOTAL(109,LTBL_27222[法人／事業所数])</f>
        <v>1045</v>
      </c>
      <c r="I20" s="12">
        <f>SUBTOTAL(109,LTBL_27222[法人以外の団体／事業所数])</f>
        <v>1</v>
      </c>
    </row>
    <row r="21" spans="2:9" ht="15" customHeight="1" x14ac:dyDescent="0.2">
      <c r="E21" s="11">
        <f>LTBL_27222[[#Totals],[個人／事業所数]]/LTBL_27222[[#Totals],[総数／事業所数]]</f>
        <v>0.51165980795610422</v>
      </c>
      <c r="G21" s="11">
        <f>LTBL_27222[[#Totals],[法人／事業所数]]/LTBL_27222[[#Totals],[総数／事業所数]]</f>
        <v>0.47782350251486055</v>
      </c>
      <c r="I21" s="11">
        <f>LTBL_27222[[#Totals],[法人以外の団体／事業所数]]/LTBL_27222[[#Totals],[総数／事業所数]]</f>
        <v>4.5724737082761773E-4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110</v>
      </c>
      <c r="C24" s="12">
        <v>258</v>
      </c>
      <c r="D24" s="8">
        <v>11.8</v>
      </c>
      <c r="E24" s="12">
        <v>110</v>
      </c>
      <c r="F24" s="8">
        <v>9.83</v>
      </c>
      <c r="G24" s="12">
        <v>148</v>
      </c>
      <c r="H24" s="8">
        <v>14.16</v>
      </c>
      <c r="I24" s="12">
        <v>0</v>
      </c>
    </row>
    <row r="25" spans="2:9" ht="15" customHeight="1" x14ac:dyDescent="0.2">
      <c r="B25" t="s">
        <v>113</v>
      </c>
      <c r="C25" s="12">
        <v>166</v>
      </c>
      <c r="D25" s="8">
        <v>7.59</v>
      </c>
      <c r="E25" s="12">
        <v>155</v>
      </c>
      <c r="F25" s="8">
        <v>13.85</v>
      </c>
      <c r="G25" s="12">
        <v>11</v>
      </c>
      <c r="H25" s="8">
        <v>1.05</v>
      </c>
      <c r="I25" s="12">
        <v>0</v>
      </c>
    </row>
    <row r="26" spans="2:9" ht="15" customHeight="1" x14ac:dyDescent="0.2">
      <c r="B26" t="s">
        <v>114</v>
      </c>
      <c r="C26" s="12">
        <v>162</v>
      </c>
      <c r="D26" s="8">
        <v>7.41</v>
      </c>
      <c r="E26" s="12">
        <v>141</v>
      </c>
      <c r="F26" s="8">
        <v>12.6</v>
      </c>
      <c r="G26" s="12">
        <v>21</v>
      </c>
      <c r="H26" s="8">
        <v>2.0099999999999998</v>
      </c>
      <c r="I26" s="12">
        <v>0</v>
      </c>
    </row>
    <row r="27" spans="2:9" ht="15" customHeight="1" x14ac:dyDescent="0.2">
      <c r="B27" t="s">
        <v>98</v>
      </c>
      <c r="C27" s="12">
        <v>150</v>
      </c>
      <c r="D27" s="8">
        <v>6.86</v>
      </c>
      <c r="E27" s="12">
        <v>42</v>
      </c>
      <c r="F27" s="8">
        <v>3.75</v>
      </c>
      <c r="G27" s="12">
        <v>108</v>
      </c>
      <c r="H27" s="8">
        <v>10.33</v>
      </c>
      <c r="I27" s="12">
        <v>0</v>
      </c>
    </row>
    <row r="28" spans="2:9" ht="15" customHeight="1" x14ac:dyDescent="0.2">
      <c r="B28" t="s">
        <v>108</v>
      </c>
      <c r="C28" s="12">
        <v>110</v>
      </c>
      <c r="D28" s="8">
        <v>5.03</v>
      </c>
      <c r="E28" s="12">
        <v>71</v>
      </c>
      <c r="F28" s="8">
        <v>6.34</v>
      </c>
      <c r="G28" s="12">
        <v>39</v>
      </c>
      <c r="H28" s="8">
        <v>3.73</v>
      </c>
      <c r="I28" s="12">
        <v>0</v>
      </c>
    </row>
    <row r="29" spans="2:9" ht="15" customHeight="1" x14ac:dyDescent="0.2">
      <c r="B29" t="s">
        <v>106</v>
      </c>
      <c r="C29" s="12">
        <v>95</v>
      </c>
      <c r="D29" s="8">
        <v>4.34</v>
      </c>
      <c r="E29" s="12">
        <v>73</v>
      </c>
      <c r="F29" s="8">
        <v>6.52</v>
      </c>
      <c r="G29" s="12">
        <v>22</v>
      </c>
      <c r="H29" s="8">
        <v>2.11</v>
      </c>
      <c r="I29" s="12">
        <v>0</v>
      </c>
    </row>
    <row r="30" spans="2:9" ht="15" customHeight="1" x14ac:dyDescent="0.2">
      <c r="B30" t="s">
        <v>99</v>
      </c>
      <c r="C30" s="12">
        <v>90</v>
      </c>
      <c r="D30" s="8">
        <v>4.12</v>
      </c>
      <c r="E30" s="12">
        <v>26</v>
      </c>
      <c r="F30" s="8">
        <v>2.3199999999999998</v>
      </c>
      <c r="G30" s="12">
        <v>64</v>
      </c>
      <c r="H30" s="8">
        <v>6.12</v>
      </c>
      <c r="I30" s="12">
        <v>0</v>
      </c>
    </row>
    <row r="31" spans="2:9" ht="15" customHeight="1" x14ac:dyDescent="0.2">
      <c r="B31" t="s">
        <v>115</v>
      </c>
      <c r="C31" s="12">
        <v>85</v>
      </c>
      <c r="D31" s="8">
        <v>3.89</v>
      </c>
      <c r="E31" s="12">
        <v>71</v>
      </c>
      <c r="F31" s="8">
        <v>6.34</v>
      </c>
      <c r="G31" s="12">
        <v>12</v>
      </c>
      <c r="H31" s="8">
        <v>1.1499999999999999</v>
      </c>
      <c r="I31" s="12">
        <v>0</v>
      </c>
    </row>
    <row r="32" spans="2:9" ht="15" customHeight="1" x14ac:dyDescent="0.2">
      <c r="B32" t="s">
        <v>100</v>
      </c>
      <c r="C32" s="12">
        <v>82</v>
      </c>
      <c r="D32" s="8">
        <v>3.75</v>
      </c>
      <c r="E32" s="12">
        <v>21</v>
      </c>
      <c r="F32" s="8">
        <v>1.88</v>
      </c>
      <c r="G32" s="12">
        <v>61</v>
      </c>
      <c r="H32" s="8">
        <v>5.84</v>
      </c>
      <c r="I32" s="12">
        <v>0</v>
      </c>
    </row>
    <row r="33" spans="2:9" ht="15" customHeight="1" x14ac:dyDescent="0.2">
      <c r="B33" t="s">
        <v>116</v>
      </c>
      <c r="C33" s="12">
        <v>81</v>
      </c>
      <c r="D33" s="8">
        <v>3.7</v>
      </c>
      <c r="E33" s="12">
        <v>70</v>
      </c>
      <c r="F33" s="8">
        <v>6.26</v>
      </c>
      <c r="G33" s="12">
        <v>11</v>
      </c>
      <c r="H33" s="8">
        <v>1.05</v>
      </c>
      <c r="I33" s="12">
        <v>0</v>
      </c>
    </row>
    <row r="34" spans="2:9" ht="15" customHeight="1" x14ac:dyDescent="0.2">
      <c r="B34" t="s">
        <v>101</v>
      </c>
      <c r="C34" s="12">
        <v>77</v>
      </c>
      <c r="D34" s="8">
        <v>3.52</v>
      </c>
      <c r="E34" s="12">
        <v>28</v>
      </c>
      <c r="F34" s="8">
        <v>2.5</v>
      </c>
      <c r="G34" s="12">
        <v>49</v>
      </c>
      <c r="H34" s="8">
        <v>4.6900000000000004</v>
      </c>
      <c r="I34" s="12">
        <v>0</v>
      </c>
    </row>
    <row r="35" spans="2:9" ht="15" customHeight="1" x14ac:dyDescent="0.2">
      <c r="B35" t="s">
        <v>107</v>
      </c>
      <c r="C35" s="12">
        <v>63</v>
      </c>
      <c r="D35" s="8">
        <v>2.88</v>
      </c>
      <c r="E35" s="12">
        <v>45</v>
      </c>
      <c r="F35" s="8">
        <v>4.0199999999999996</v>
      </c>
      <c r="G35" s="12">
        <v>18</v>
      </c>
      <c r="H35" s="8">
        <v>1.72</v>
      </c>
      <c r="I35" s="12">
        <v>0</v>
      </c>
    </row>
    <row r="36" spans="2:9" ht="15" customHeight="1" x14ac:dyDescent="0.2">
      <c r="B36" t="s">
        <v>111</v>
      </c>
      <c r="C36" s="12">
        <v>54</v>
      </c>
      <c r="D36" s="8">
        <v>2.4700000000000002</v>
      </c>
      <c r="E36" s="12">
        <v>25</v>
      </c>
      <c r="F36" s="8">
        <v>2.23</v>
      </c>
      <c r="G36" s="12">
        <v>29</v>
      </c>
      <c r="H36" s="8">
        <v>2.78</v>
      </c>
      <c r="I36" s="12">
        <v>0</v>
      </c>
    </row>
    <row r="37" spans="2:9" ht="15" customHeight="1" x14ac:dyDescent="0.2">
      <c r="B37" t="s">
        <v>117</v>
      </c>
      <c r="C37" s="12">
        <v>52</v>
      </c>
      <c r="D37" s="8">
        <v>2.38</v>
      </c>
      <c r="E37" s="12">
        <v>1</v>
      </c>
      <c r="F37" s="8">
        <v>0.09</v>
      </c>
      <c r="G37" s="12">
        <v>34</v>
      </c>
      <c r="H37" s="8">
        <v>3.25</v>
      </c>
      <c r="I37" s="12">
        <v>1</v>
      </c>
    </row>
    <row r="38" spans="2:9" ht="15" customHeight="1" x14ac:dyDescent="0.2">
      <c r="B38" t="s">
        <v>109</v>
      </c>
      <c r="C38" s="12">
        <v>38</v>
      </c>
      <c r="D38" s="8">
        <v>1.74</v>
      </c>
      <c r="E38" s="12">
        <v>9</v>
      </c>
      <c r="F38" s="8">
        <v>0.8</v>
      </c>
      <c r="G38" s="12">
        <v>29</v>
      </c>
      <c r="H38" s="8">
        <v>2.78</v>
      </c>
      <c r="I38" s="12">
        <v>0</v>
      </c>
    </row>
    <row r="39" spans="2:9" ht="15" customHeight="1" x14ac:dyDescent="0.2">
      <c r="B39" t="s">
        <v>127</v>
      </c>
      <c r="C39" s="12">
        <v>37</v>
      </c>
      <c r="D39" s="8">
        <v>1.69</v>
      </c>
      <c r="E39" s="12">
        <v>7</v>
      </c>
      <c r="F39" s="8">
        <v>0.63</v>
      </c>
      <c r="G39" s="12">
        <v>30</v>
      </c>
      <c r="H39" s="8">
        <v>2.87</v>
      </c>
      <c r="I39" s="12">
        <v>0</v>
      </c>
    </row>
    <row r="40" spans="2:9" ht="15" customHeight="1" x14ac:dyDescent="0.2">
      <c r="B40" t="s">
        <v>104</v>
      </c>
      <c r="C40" s="12">
        <v>34</v>
      </c>
      <c r="D40" s="8">
        <v>1.55</v>
      </c>
      <c r="E40" s="12">
        <v>8</v>
      </c>
      <c r="F40" s="8">
        <v>0.71</v>
      </c>
      <c r="G40" s="12">
        <v>26</v>
      </c>
      <c r="H40" s="8">
        <v>2.4900000000000002</v>
      </c>
      <c r="I40" s="12">
        <v>0</v>
      </c>
    </row>
    <row r="41" spans="2:9" ht="15" customHeight="1" x14ac:dyDescent="0.2">
      <c r="B41" t="s">
        <v>102</v>
      </c>
      <c r="C41" s="12">
        <v>33</v>
      </c>
      <c r="D41" s="8">
        <v>1.51</v>
      </c>
      <c r="E41" s="12">
        <v>11</v>
      </c>
      <c r="F41" s="8">
        <v>0.98</v>
      </c>
      <c r="G41" s="12">
        <v>22</v>
      </c>
      <c r="H41" s="8">
        <v>2.11</v>
      </c>
      <c r="I41" s="12">
        <v>0</v>
      </c>
    </row>
    <row r="42" spans="2:9" ht="15" customHeight="1" x14ac:dyDescent="0.2">
      <c r="B42" t="s">
        <v>112</v>
      </c>
      <c r="C42" s="12">
        <v>33</v>
      </c>
      <c r="D42" s="8">
        <v>1.51</v>
      </c>
      <c r="E42" s="12">
        <v>16</v>
      </c>
      <c r="F42" s="8">
        <v>1.43</v>
      </c>
      <c r="G42" s="12">
        <v>17</v>
      </c>
      <c r="H42" s="8">
        <v>1.63</v>
      </c>
      <c r="I42" s="12">
        <v>0</v>
      </c>
    </row>
    <row r="43" spans="2:9" ht="15" customHeight="1" x14ac:dyDescent="0.2">
      <c r="B43" t="s">
        <v>130</v>
      </c>
      <c r="C43" s="12">
        <v>33</v>
      </c>
      <c r="D43" s="8">
        <v>1.51</v>
      </c>
      <c r="E43" s="12">
        <v>24</v>
      </c>
      <c r="F43" s="8">
        <v>2.14</v>
      </c>
      <c r="G43" s="12">
        <v>9</v>
      </c>
      <c r="H43" s="8">
        <v>0.86</v>
      </c>
      <c r="I43" s="12">
        <v>0</v>
      </c>
    </row>
    <row r="46" spans="2:9" ht="33" customHeight="1" x14ac:dyDescent="0.2">
      <c r="B46" t="s">
        <v>273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160</v>
      </c>
      <c r="C47" s="12">
        <v>101</v>
      </c>
      <c r="D47" s="8">
        <v>4.62</v>
      </c>
      <c r="E47" s="12">
        <v>45</v>
      </c>
      <c r="F47" s="8">
        <v>4.0199999999999996</v>
      </c>
      <c r="G47" s="12">
        <v>56</v>
      </c>
      <c r="H47" s="8">
        <v>5.36</v>
      </c>
      <c r="I47" s="12">
        <v>0</v>
      </c>
    </row>
    <row r="48" spans="2:9" ht="15" customHeight="1" x14ac:dyDescent="0.2">
      <c r="B48" t="s">
        <v>169</v>
      </c>
      <c r="C48" s="12">
        <v>84</v>
      </c>
      <c r="D48" s="8">
        <v>3.84</v>
      </c>
      <c r="E48" s="12">
        <v>74</v>
      </c>
      <c r="F48" s="8">
        <v>6.61</v>
      </c>
      <c r="G48" s="12">
        <v>10</v>
      </c>
      <c r="H48" s="8">
        <v>0.96</v>
      </c>
      <c r="I48" s="12">
        <v>0</v>
      </c>
    </row>
    <row r="49" spans="2:9" ht="15" customHeight="1" x14ac:dyDescent="0.2">
      <c r="B49" t="s">
        <v>161</v>
      </c>
      <c r="C49" s="12">
        <v>71</v>
      </c>
      <c r="D49" s="8">
        <v>3.25</v>
      </c>
      <c r="E49" s="12">
        <v>58</v>
      </c>
      <c r="F49" s="8">
        <v>5.18</v>
      </c>
      <c r="G49" s="12">
        <v>13</v>
      </c>
      <c r="H49" s="8">
        <v>1.24</v>
      </c>
      <c r="I49" s="12">
        <v>0</v>
      </c>
    </row>
    <row r="50" spans="2:9" ht="15" customHeight="1" x14ac:dyDescent="0.2">
      <c r="B50" t="s">
        <v>171</v>
      </c>
      <c r="C50" s="12">
        <v>65</v>
      </c>
      <c r="D50" s="8">
        <v>2.97</v>
      </c>
      <c r="E50" s="12">
        <v>60</v>
      </c>
      <c r="F50" s="8">
        <v>5.36</v>
      </c>
      <c r="G50" s="12">
        <v>5</v>
      </c>
      <c r="H50" s="8">
        <v>0.48</v>
      </c>
      <c r="I50" s="12">
        <v>0</v>
      </c>
    </row>
    <row r="51" spans="2:9" ht="15" customHeight="1" x14ac:dyDescent="0.2">
      <c r="B51" t="s">
        <v>159</v>
      </c>
      <c r="C51" s="12">
        <v>61</v>
      </c>
      <c r="D51" s="8">
        <v>2.79</v>
      </c>
      <c r="E51" s="12">
        <v>7</v>
      </c>
      <c r="F51" s="8">
        <v>0.63</v>
      </c>
      <c r="G51" s="12">
        <v>54</v>
      </c>
      <c r="H51" s="8">
        <v>5.17</v>
      </c>
      <c r="I51" s="12">
        <v>0</v>
      </c>
    </row>
    <row r="52" spans="2:9" ht="15" customHeight="1" x14ac:dyDescent="0.2">
      <c r="B52" t="s">
        <v>167</v>
      </c>
      <c r="C52" s="12">
        <v>61</v>
      </c>
      <c r="D52" s="8">
        <v>2.79</v>
      </c>
      <c r="E52" s="12">
        <v>55</v>
      </c>
      <c r="F52" s="8">
        <v>4.92</v>
      </c>
      <c r="G52" s="12">
        <v>6</v>
      </c>
      <c r="H52" s="8">
        <v>0.56999999999999995</v>
      </c>
      <c r="I52" s="12">
        <v>0</v>
      </c>
    </row>
    <row r="53" spans="2:9" ht="15" customHeight="1" x14ac:dyDescent="0.2">
      <c r="B53" t="s">
        <v>170</v>
      </c>
      <c r="C53" s="12">
        <v>54</v>
      </c>
      <c r="D53" s="8">
        <v>2.4700000000000002</v>
      </c>
      <c r="E53" s="12">
        <v>47</v>
      </c>
      <c r="F53" s="8">
        <v>4.2</v>
      </c>
      <c r="G53" s="12">
        <v>7</v>
      </c>
      <c r="H53" s="8">
        <v>0.67</v>
      </c>
      <c r="I53" s="12">
        <v>0</v>
      </c>
    </row>
    <row r="54" spans="2:9" ht="15" customHeight="1" x14ac:dyDescent="0.2">
      <c r="B54" t="s">
        <v>152</v>
      </c>
      <c r="C54" s="12">
        <v>50</v>
      </c>
      <c r="D54" s="8">
        <v>2.29</v>
      </c>
      <c r="E54" s="12">
        <v>13</v>
      </c>
      <c r="F54" s="8">
        <v>1.1599999999999999</v>
      </c>
      <c r="G54" s="12">
        <v>37</v>
      </c>
      <c r="H54" s="8">
        <v>3.54</v>
      </c>
      <c r="I54" s="12">
        <v>0</v>
      </c>
    </row>
    <row r="55" spans="2:9" ht="15" customHeight="1" x14ac:dyDescent="0.2">
      <c r="B55" t="s">
        <v>168</v>
      </c>
      <c r="C55" s="12">
        <v>48</v>
      </c>
      <c r="D55" s="8">
        <v>2.19</v>
      </c>
      <c r="E55" s="12">
        <v>47</v>
      </c>
      <c r="F55" s="8">
        <v>4.2</v>
      </c>
      <c r="G55" s="12">
        <v>1</v>
      </c>
      <c r="H55" s="8">
        <v>0.1</v>
      </c>
      <c r="I55" s="12">
        <v>0</v>
      </c>
    </row>
    <row r="56" spans="2:9" ht="15" customHeight="1" x14ac:dyDescent="0.2">
      <c r="B56" t="s">
        <v>190</v>
      </c>
      <c r="C56" s="12">
        <v>43</v>
      </c>
      <c r="D56" s="8">
        <v>1.97</v>
      </c>
      <c r="E56" s="12">
        <v>10</v>
      </c>
      <c r="F56" s="8">
        <v>0.89</v>
      </c>
      <c r="G56" s="12">
        <v>33</v>
      </c>
      <c r="H56" s="8">
        <v>3.16</v>
      </c>
      <c r="I56" s="12">
        <v>0</v>
      </c>
    </row>
    <row r="57" spans="2:9" ht="15" customHeight="1" x14ac:dyDescent="0.2">
      <c r="B57" t="s">
        <v>157</v>
      </c>
      <c r="C57" s="12">
        <v>42</v>
      </c>
      <c r="D57" s="8">
        <v>1.92</v>
      </c>
      <c r="E57" s="12">
        <v>36</v>
      </c>
      <c r="F57" s="8">
        <v>3.22</v>
      </c>
      <c r="G57" s="12">
        <v>6</v>
      </c>
      <c r="H57" s="8">
        <v>0.56999999999999995</v>
      </c>
      <c r="I57" s="12">
        <v>0</v>
      </c>
    </row>
    <row r="58" spans="2:9" ht="15" customHeight="1" x14ac:dyDescent="0.2">
      <c r="B58" t="s">
        <v>165</v>
      </c>
      <c r="C58" s="12">
        <v>35</v>
      </c>
      <c r="D58" s="8">
        <v>1.6</v>
      </c>
      <c r="E58" s="12">
        <v>34</v>
      </c>
      <c r="F58" s="8">
        <v>3.04</v>
      </c>
      <c r="G58" s="12">
        <v>1</v>
      </c>
      <c r="H58" s="8">
        <v>0.1</v>
      </c>
      <c r="I58" s="12">
        <v>0</v>
      </c>
    </row>
    <row r="59" spans="2:9" ht="15" customHeight="1" x14ac:dyDescent="0.2">
      <c r="B59" t="s">
        <v>192</v>
      </c>
      <c r="C59" s="12">
        <v>34</v>
      </c>
      <c r="D59" s="8">
        <v>1.55</v>
      </c>
      <c r="E59" s="12">
        <v>8</v>
      </c>
      <c r="F59" s="8">
        <v>0.71</v>
      </c>
      <c r="G59" s="12">
        <v>26</v>
      </c>
      <c r="H59" s="8">
        <v>2.4900000000000002</v>
      </c>
      <c r="I59" s="12">
        <v>0</v>
      </c>
    </row>
    <row r="60" spans="2:9" ht="15" customHeight="1" x14ac:dyDescent="0.2">
      <c r="B60" t="s">
        <v>153</v>
      </c>
      <c r="C60" s="12">
        <v>32</v>
      </c>
      <c r="D60" s="8">
        <v>1.46</v>
      </c>
      <c r="E60" s="12">
        <v>9</v>
      </c>
      <c r="F60" s="8">
        <v>0.8</v>
      </c>
      <c r="G60" s="12">
        <v>23</v>
      </c>
      <c r="H60" s="8">
        <v>2.2000000000000002</v>
      </c>
      <c r="I60" s="12">
        <v>0</v>
      </c>
    </row>
    <row r="61" spans="2:9" ht="15" customHeight="1" x14ac:dyDescent="0.2">
      <c r="B61" t="s">
        <v>215</v>
      </c>
      <c r="C61" s="12">
        <v>32</v>
      </c>
      <c r="D61" s="8">
        <v>1.46</v>
      </c>
      <c r="E61" s="12">
        <v>21</v>
      </c>
      <c r="F61" s="8">
        <v>1.88</v>
      </c>
      <c r="G61" s="12">
        <v>11</v>
      </c>
      <c r="H61" s="8">
        <v>1.05</v>
      </c>
      <c r="I61" s="12">
        <v>0</v>
      </c>
    </row>
    <row r="62" spans="2:9" ht="15" customHeight="1" x14ac:dyDescent="0.2">
      <c r="B62" t="s">
        <v>158</v>
      </c>
      <c r="C62" s="12">
        <v>31</v>
      </c>
      <c r="D62" s="8">
        <v>1.42</v>
      </c>
      <c r="E62" s="12">
        <v>8</v>
      </c>
      <c r="F62" s="8">
        <v>0.71</v>
      </c>
      <c r="G62" s="12">
        <v>23</v>
      </c>
      <c r="H62" s="8">
        <v>2.2000000000000002</v>
      </c>
      <c r="I62" s="12">
        <v>0</v>
      </c>
    </row>
    <row r="63" spans="2:9" ht="15" customHeight="1" x14ac:dyDescent="0.2">
      <c r="B63" t="s">
        <v>156</v>
      </c>
      <c r="C63" s="12">
        <v>29</v>
      </c>
      <c r="D63" s="8">
        <v>1.33</v>
      </c>
      <c r="E63" s="12">
        <v>23</v>
      </c>
      <c r="F63" s="8">
        <v>2.06</v>
      </c>
      <c r="G63" s="12">
        <v>6</v>
      </c>
      <c r="H63" s="8">
        <v>0.56999999999999995</v>
      </c>
      <c r="I63" s="12">
        <v>0</v>
      </c>
    </row>
    <row r="64" spans="2:9" ht="15" customHeight="1" x14ac:dyDescent="0.2">
      <c r="B64" t="s">
        <v>198</v>
      </c>
      <c r="C64" s="12">
        <v>29</v>
      </c>
      <c r="D64" s="8">
        <v>1.33</v>
      </c>
      <c r="E64" s="12">
        <v>22</v>
      </c>
      <c r="F64" s="8">
        <v>1.97</v>
      </c>
      <c r="G64" s="12">
        <v>7</v>
      </c>
      <c r="H64" s="8">
        <v>0.67</v>
      </c>
      <c r="I64" s="12">
        <v>0</v>
      </c>
    </row>
    <row r="65" spans="2:9" ht="15" customHeight="1" x14ac:dyDescent="0.2">
      <c r="B65" t="s">
        <v>174</v>
      </c>
      <c r="C65" s="12">
        <v>28</v>
      </c>
      <c r="D65" s="8">
        <v>1.28</v>
      </c>
      <c r="E65" s="12">
        <v>11</v>
      </c>
      <c r="F65" s="8">
        <v>0.98</v>
      </c>
      <c r="G65" s="12">
        <v>17</v>
      </c>
      <c r="H65" s="8">
        <v>1.63</v>
      </c>
      <c r="I65" s="12">
        <v>0</v>
      </c>
    </row>
    <row r="66" spans="2:9" ht="15" customHeight="1" x14ac:dyDescent="0.2">
      <c r="B66" t="s">
        <v>210</v>
      </c>
      <c r="C66" s="12">
        <v>26</v>
      </c>
      <c r="D66" s="8">
        <v>1.19</v>
      </c>
      <c r="E66" s="12">
        <v>8</v>
      </c>
      <c r="F66" s="8">
        <v>0.71</v>
      </c>
      <c r="G66" s="12">
        <v>18</v>
      </c>
      <c r="H66" s="8">
        <v>1.72</v>
      </c>
      <c r="I66" s="12">
        <v>0</v>
      </c>
    </row>
    <row r="67" spans="2:9" ht="15" customHeight="1" x14ac:dyDescent="0.2">
      <c r="B67" t="s">
        <v>199</v>
      </c>
      <c r="C67" s="12">
        <v>26</v>
      </c>
      <c r="D67" s="8">
        <v>1.19</v>
      </c>
      <c r="E67" s="12">
        <v>23</v>
      </c>
      <c r="F67" s="8">
        <v>2.06</v>
      </c>
      <c r="G67" s="12">
        <v>3</v>
      </c>
      <c r="H67" s="8">
        <v>0.28999999999999998</v>
      </c>
      <c r="I67" s="12">
        <v>0</v>
      </c>
    </row>
    <row r="69" spans="2:9" ht="15" customHeight="1" x14ac:dyDescent="0.2">
      <c r="B69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31EB8-12CD-45B0-80DE-0C0FF87F1696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275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7051</v>
      </c>
      <c r="D6" s="8">
        <v>7.22</v>
      </c>
      <c r="E6" s="12">
        <v>1123</v>
      </c>
      <c r="F6" s="8">
        <v>2.6</v>
      </c>
      <c r="G6" s="12">
        <v>5926</v>
      </c>
      <c r="H6" s="8">
        <v>10.92</v>
      </c>
      <c r="I6" s="12">
        <v>2</v>
      </c>
    </row>
    <row r="7" spans="2:9" ht="15" customHeight="1" x14ac:dyDescent="0.2">
      <c r="B7" t="s">
        <v>77</v>
      </c>
      <c r="C7" s="12">
        <v>10788</v>
      </c>
      <c r="D7" s="8">
        <v>11.05</v>
      </c>
      <c r="E7" s="12">
        <v>3730</v>
      </c>
      <c r="F7" s="8">
        <v>8.65</v>
      </c>
      <c r="G7" s="12">
        <v>7055</v>
      </c>
      <c r="H7" s="8">
        <v>13</v>
      </c>
      <c r="I7" s="12">
        <v>3</v>
      </c>
    </row>
    <row r="8" spans="2:9" ht="15" customHeight="1" x14ac:dyDescent="0.2">
      <c r="B8" t="s">
        <v>78</v>
      </c>
      <c r="C8" s="12">
        <v>65</v>
      </c>
      <c r="D8" s="8">
        <v>7.0000000000000007E-2</v>
      </c>
      <c r="E8" s="12">
        <v>0</v>
      </c>
      <c r="F8" s="8">
        <v>0</v>
      </c>
      <c r="G8" s="12">
        <v>64</v>
      </c>
      <c r="H8" s="8">
        <v>0.12</v>
      </c>
      <c r="I8" s="12">
        <v>0</v>
      </c>
    </row>
    <row r="9" spans="2:9" ht="15" customHeight="1" x14ac:dyDescent="0.2">
      <c r="B9" t="s">
        <v>79</v>
      </c>
      <c r="C9" s="12">
        <v>2257</v>
      </c>
      <c r="D9" s="8">
        <v>2.31</v>
      </c>
      <c r="E9" s="12">
        <v>150</v>
      </c>
      <c r="F9" s="8">
        <v>0.35</v>
      </c>
      <c r="G9" s="12">
        <v>2102</v>
      </c>
      <c r="H9" s="8">
        <v>3.87</v>
      </c>
      <c r="I9" s="12">
        <v>5</v>
      </c>
    </row>
    <row r="10" spans="2:9" ht="15" customHeight="1" x14ac:dyDescent="0.2">
      <c r="B10" t="s">
        <v>80</v>
      </c>
      <c r="C10" s="12">
        <v>1143</v>
      </c>
      <c r="D10" s="8">
        <v>1.17</v>
      </c>
      <c r="E10" s="12">
        <v>260</v>
      </c>
      <c r="F10" s="8">
        <v>0.6</v>
      </c>
      <c r="G10" s="12">
        <v>879</v>
      </c>
      <c r="H10" s="8">
        <v>1.62</v>
      </c>
      <c r="I10" s="12">
        <v>4</v>
      </c>
    </row>
    <row r="11" spans="2:9" ht="15" customHeight="1" x14ac:dyDescent="0.2">
      <c r="B11" t="s">
        <v>81</v>
      </c>
      <c r="C11" s="12">
        <v>22854</v>
      </c>
      <c r="D11" s="8">
        <v>23.41</v>
      </c>
      <c r="E11" s="12">
        <v>8418</v>
      </c>
      <c r="F11" s="8">
        <v>19.52</v>
      </c>
      <c r="G11" s="12">
        <v>14431</v>
      </c>
      <c r="H11" s="8">
        <v>26.59</v>
      </c>
      <c r="I11" s="12">
        <v>5</v>
      </c>
    </row>
    <row r="12" spans="2:9" ht="15" customHeight="1" x14ac:dyDescent="0.2">
      <c r="B12" t="s">
        <v>82</v>
      </c>
      <c r="C12" s="12">
        <v>606</v>
      </c>
      <c r="D12" s="8">
        <v>0.62</v>
      </c>
      <c r="E12" s="12">
        <v>50</v>
      </c>
      <c r="F12" s="8">
        <v>0.12</v>
      </c>
      <c r="G12" s="12">
        <v>556</v>
      </c>
      <c r="H12" s="8">
        <v>1.02</v>
      </c>
      <c r="I12" s="12">
        <v>0</v>
      </c>
    </row>
    <row r="13" spans="2:9" ht="15" customHeight="1" x14ac:dyDescent="0.2">
      <c r="B13" t="s">
        <v>83</v>
      </c>
      <c r="C13" s="12">
        <v>13040</v>
      </c>
      <c r="D13" s="8">
        <v>13.36</v>
      </c>
      <c r="E13" s="12">
        <v>3581</v>
      </c>
      <c r="F13" s="8">
        <v>8.3000000000000007</v>
      </c>
      <c r="G13" s="12">
        <v>9442</v>
      </c>
      <c r="H13" s="8">
        <v>17.39</v>
      </c>
      <c r="I13" s="12">
        <v>16</v>
      </c>
    </row>
    <row r="14" spans="2:9" ht="15" customHeight="1" x14ac:dyDescent="0.2">
      <c r="B14" t="s">
        <v>84</v>
      </c>
      <c r="C14" s="12">
        <v>9747</v>
      </c>
      <c r="D14" s="8">
        <v>9.98</v>
      </c>
      <c r="E14" s="12">
        <v>5256</v>
      </c>
      <c r="F14" s="8">
        <v>12.19</v>
      </c>
      <c r="G14" s="12">
        <v>4469</v>
      </c>
      <c r="H14" s="8">
        <v>8.23</v>
      </c>
      <c r="I14" s="12">
        <v>18</v>
      </c>
    </row>
    <row r="15" spans="2:9" ht="15" customHeight="1" x14ac:dyDescent="0.2">
      <c r="B15" t="s">
        <v>85</v>
      </c>
      <c r="C15" s="12">
        <v>13206</v>
      </c>
      <c r="D15" s="8">
        <v>13.53</v>
      </c>
      <c r="E15" s="12">
        <v>10740</v>
      </c>
      <c r="F15" s="8">
        <v>24.9</v>
      </c>
      <c r="G15" s="12">
        <v>2460</v>
      </c>
      <c r="H15" s="8">
        <v>4.53</v>
      </c>
      <c r="I15" s="12">
        <v>4</v>
      </c>
    </row>
    <row r="16" spans="2:9" ht="15" customHeight="1" x14ac:dyDescent="0.2">
      <c r="B16" t="s">
        <v>86</v>
      </c>
      <c r="C16" s="12">
        <v>7385</v>
      </c>
      <c r="D16" s="8">
        <v>7.56</v>
      </c>
      <c r="E16" s="12">
        <v>5269</v>
      </c>
      <c r="F16" s="8">
        <v>12.22</v>
      </c>
      <c r="G16" s="12">
        <v>2113</v>
      </c>
      <c r="H16" s="8">
        <v>3.89</v>
      </c>
      <c r="I16" s="12">
        <v>3</v>
      </c>
    </row>
    <row r="17" spans="2:9" ht="15" customHeight="1" x14ac:dyDescent="0.2">
      <c r="B17" t="s">
        <v>87</v>
      </c>
      <c r="C17" s="12">
        <v>2102</v>
      </c>
      <c r="D17" s="8">
        <v>2.15</v>
      </c>
      <c r="E17" s="12">
        <v>1265</v>
      </c>
      <c r="F17" s="8">
        <v>2.93</v>
      </c>
      <c r="G17" s="12">
        <v>798</v>
      </c>
      <c r="H17" s="8">
        <v>1.47</v>
      </c>
      <c r="I17" s="12">
        <v>12</v>
      </c>
    </row>
    <row r="18" spans="2:9" ht="15" customHeight="1" x14ac:dyDescent="0.2">
      <c r="B18" t="s">
        <v>88</v>
      </c>
      <c r="C18" s="12">
        <v>4328</v>
      </c>
      <c r="D18" s="8">
        <v>4.43</v>
      </c>
      <c r="E18" s="12">
        <v>2720</v>
      </c>
      <c r="F18" s="8">
        <v>6.31</v>
      </c>
      <c r="G18" s="12">
        <v>1551</v>
      </c>
      <c r="H18" s="8">
        <v>2.86</v>
      </c>
      <c r="I18" s="12">
        <v>57</v>
      </c>
    </row>
    <row r="19" spans="2:9" ht="15" customHeight="1" x14ac:dyDescent="0.2">
      <c r="B19" t="s">
        <v>89</v>
      </c>
      <c r="C19" s="12">
        <v>3068</v>
      </c>
      <c r="D19" s="8">
        <v>3.14</v>
      </c>
      <c r="E19" s="12">
        <v>572</v>
      </c>
      <c r="F19" s="8">
        <v>1.33</v>
      </c>
      <c r="G19" s="12">
        <v>2436</v>
      </c>
      <c r="H19" s="8">
        <v>4.49</v>
      </c>
      <c r="I19" s="12">
        <v>57</v>
      </c>
    </row>
    <row r="20" spans="2:9" ht="15" customHeight="1" x14ac:dyDescent="0.2">
      <c r="B20" s="9" t="s">
        <v>271</v>
      </c>
      <c r="C20" s="12">
        <f>SUM(LTBL_27100[総数／事業所数])</f>
        <v>97640</v>
      </c>
      <c r="E20" s="12">
        <f>SUBTOTAL(109,LTBL_27100[個人／事業所数])</f>
        <v>43134</v>
      </c>
      <c r="G20" s="12">
        <f>SUBTOTAL(109,LTBL_27100[法人／事業所数])</f>
        <v>54282</v>
      </c>
      <c r="I20" s="12">
        <f>SUBTOTAL(109,LTBL_27100[法人以外の団体／事業所数])</f>
        <v>186</v>
      </c>
    </row>
    <row r="21" spans="2:9" ht="15" customHeight="1" x14ac:dyDescent="0.2">
      <c r="E21" s="11">
        <f>LTBL_27100[[#Totals],[個人／事業所数]]/LTBL_27100[[#Totals],[総数／事業所数]]</f>
        <v>0.44176566980745596</v>
      </c>
      <c r="G21" s="11">
        <f>LTBL_27100[[#Totals],[法人／事業所数]]/LTBL_27100[[#Totals],[総数／事業所数]]</f>
        <v>0.5559401884473576</v>
      </c>
      <c r="I21" s="11">
        <f>LTBL_27100[[#Totals],[法人以外の団体／事業所数]]/LTBL_27100[[#Totals],[総数／事業所数]]</f>
        <v>1.9049569848422778E-3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113</v>
      </c>
      <c r="C24" s="12">
        <v>12371</v>
      </c>
      <c r="D24" s="8">
        <v>12.67</v>
      </c>
      <c r="E24" s="12">
        <v>10489</v>
      </c>
      <c r="F24" s="8">
        <v>24.32</v>
      </c>
      <c r="G24" s="12">
        <v>1878</v>
      </c>
      <c r="H24" s="8">
        <v>3.46</v>
      </c>
      <c r="I24" s="12">
        <v>4</v>
      </c>
    </row>
    <row r="25" spans="2:9" ht="15" customHeight="1" x14ac:dyDescent="0.2">
      <c r="B25" t="s">
        <v>110</v>
      </c>
      <c r="C25" s="12">
        <v>10315</v>
      </c>
      <c r="D25" s="8">
        <v>10.56</v>
      </c>
      <c r="E25" s="12">
        <v>3264</v>
      </c>
      <c r="F25" s="8">
        <v>7.57</v>
      </c>
      <c r="G25" s="12">
        <v>7035</v>
      </c>
      <c r="H25" s="8">
        <v>12.96</v>
      </c>
      <c r="I25" s="12">
        <v>15</v>
      </c>
    </row>
    <row r="26" spans="2:9" ht="15" customHeight="1" x14ac:dyDescent="0.2">
      <c r="B26" t="s">
        <v>111</v>
      </c>
      <c r="C26" s="12">
        <v>7121</v>
      </c>
      <c r="D26" s="8">
        <v>7.29</v>
      </c>
      <c r="E26" s="12">
        <v>4453</v>
      </c>
      <c r="F26" s="8">
        <v>10.32</v>
      </c>
      <c r="G26" s="12">
        <v>2658</v>
      </c>
      <c r="H26" s="8">
        <v>4.9000000000000004</v>
      </c>
      <c r="I26" s="12">
        <v>10</v>
      </c>
    </row>
    <row r="27" spans="2:9" ht="15" customHeight="1" x14ac:dyDescent="0.2">
      <c r="B27" t="s">
        <v>114</v>
      </c>
      <c r="C27" s="12">
        <v>5658</v>
      </c>
      <c r="D27" s="8">
        <v>5.79</v>
      </c>
      <c r="E27" s="12">
        <v>4578</v>
      </c>
      <c r="F27" s="8">
        <v>10.61</v>
      </c>
      <c r="G27" s="12">
        <v>1080</v>
      </c>
      <c r="H27" s="8">
        <v>1.99</v>
      </c>
      <c r="I27" s="12">
        <v>0</v>
      </c>
    </row>
    <row r="28" spans="2:9" ht="15" customHeight="1" x14ac:dyDescent="0.2">
      <c r="B28" t="s">
        <v>108</v>
      </c>
      <c r="C28" s="12">
        <v>4829</v>
      </c>
      <c r="D28" s="8">
        <v>4.95</v>
      </c>
      <c r="E28" s="12">
        <v>2669</v>
      </c>
      <c r="F28" s="8">
        <v>6.19</v>
      </c>
      <c r="G28" s="12">
        <v>2159</v>
      </c>
      <c r="H28" s="8">
        <v>3.98</v>
      </c>
      <c r="I28" s="12">
        <v>1</v>
      </c>
    </row>
    <row r="29" spans="2:9" ht="15" customHeight="1" x14ac:dyDescent="0.2">
      <c r="B29" t="s">
        <v>116</v>
      </c>
      <c r="C29" s="12">
        <v>3256</v>
      </c>
      <c r="D29" s="8">
        <v>3.33</v>
      </c>
      <c r="E29" s="12">
        <v>2709</v>
      </c>
      <c r="F29" s="8">
        <v>6.28</v>
      </c>
      <c r="G29" s="12">
        <v>546</v>
      </c>
      <c r="H29" s="8">
        <v>1.01</v>
      </c>
      <c r="I29" s="12">
        <v>1</v>
      </c>
    </row>
    <row r="30" spans="2:9" ht="15" customHeight="1" x14ac:dyDescent="0.2">
      <c r="B30" t="s">
        <v>106</v>
      </c>
      <c r="C30" s="12">
        <v>3205</v>
      </c>
      <c r="D30" s="8">
        <v>3.28</v>
      </c>
      <c r="E30" s="12">
        <v>2283</v>
      </c>
      <c r="F30" s="8">
        <v>5.29</v>
      </c>
      <c r="G30" s="12">
        <v>922</v>
      </c>
      <c r="H30" s="8">
        <v>1.7</v>
      </c>
      <c r="I30" s="12">
        <v>0</v>
      </c>
    </row>
    <row r="31" spans="2:9" ht="15" customHeight="1" x14ac:dyDescent="0.2">
      <c r="B31" t="s">
        <v>105</v>
      </c>
      <c r="C31" s="12">
        <v>2809</v>
      </c>
      <c r="D31" s="8">
        <v>2.88</v>
      </c>
      <c r="E31" s="12">
        <v>1222</v>
      </c>
      <c r="F31" s="8">
        <v>2.83</v>
      </c>
      <c r="G31" s="12">
        <v>1586</v>
      </c>
      <c r="H31" s="8">
        <v>2.92</v>
      </c>
      <c r="I31" s="12">
        <v>1</v>
      </c>
    </row>
    <row r="32" spans="2:9" ht="15" customHeight="1" x14ac:dyDescent="0.2">
      <c r="B32" t="s">
        <v>98</v>
      </c>
      <c r="C32" s="12">
        <v>2535</v>
      </c>
      <c r="D32" s="8">
        <v>2.6</v>
      </c>
      <c r="E32" s="12">
        <v>365</v>
      </c>
      <c r="F32" s="8">
        <v>0.85</v>
      </c>
      <c r="G32" s="12">
        <v>2169</v>
      </c>
      <c r="H32" s="8">
        <v>4</v>
      </c>
      <c r="I32" s="12">
        <v>1</v>
      </c>
    </row>
    <row r="33" spans="2:9" ht="15" customHeight="1" x14ac:dyDescent="0.2">
      <c r="B33" t="s">
        <v>104</v>
      </c>
      <c r="C33" s="12">
        <v>2433</v>
      </c>
      <c r="D33" s="8">
        <v>2.4900000000000002</v>
      </c>
      <c r="E33" s="12">
        <v>360</v>
      </c>
      <c r="F33" s="8">
        <v>0.83</v>
      </c>
      <c r="G33" s="12">
        <v>2073</v>
      </c>
      <c r="H33" s="8">
        <v>3.82</v>
      </c>
      <c r="I33" s="12">
        <v>0</v>
      </c>
    </row>
    <row r="34" spans="2:9" ht="15" customHeight="1" x14ac:dyDescent="0.2">
      <c r="B34" t="s">
        <v>100</v>
      </c>
      <c r="C34" s="12">
        <v>2370</v>
      </c>
      <c r="D34" s="8">
        <v>2.4300000000000002</v>
      </c>
      <c r="E34" s="12">
        <v>336</v>
      </c>
      <c r="F34" s="8">
        <v>0.78</v>
      </c>
      <c r="G34" s="12">
        <v>2033</v>
      </c>
      <c r="H34" s="8">
        <v>3.75</v>
      </c>
      <c r="I34" s="12">
        <v>1</v>
      </c>
    </row>
    <row r="35" spans="2:9" ht="15" customHeight="1" x14ac:dyDescent="0.2">
      <c r="B35" t="s">
        <v>109</v>
      </c>
      <c r="C35" s="12">
        <v>2345</v>
      </c>
      <c r="D35" s="8">
        <v>2.4</v>
      </c>
      <c r="E35" s="12">
        <v>288</v>
      </c>
      <c r="F35" s="8">
        <v>0.67</v>
      </c>
      <c r="G35" s="12">
        <v>2056</v>
      </c>
      <c r="H35" s="8">
        <v>3.79</v>
      </c>
      <c r="I35" s="12">
        <v>1</v>
      </c>
    </row>
    <row r="36" spans="2:9" ht="15" customHeight="1" x14ac:dyDescent="0.2">
      <c r="B36" t="s">
        <v>103</v>
      </c>
      <c r="C36" s="12">
        <v>2326</v>
      </c>
      <c r="D36" s="8">
        <v>2.38</v>
      </c>
      <c r="E36" s="12">
        <v>216</v>
      </c>
      <c r="F36" s="8">
        <v>0.5</v>
      </c>
      <c r="G36" s="12">
        <v>2110</v>
      </c>
      <c r="H36" s="8">
        <v>3.89</v>
      </c>
      <c r="I36" s="12">
        <v>0</v>
      </c>
    </row>
    <row r="37" spans="2:9" ht="15" customHeight="1" x14ac:dyDescent="0.2">
      <c r="B37" t="s">
        <v>112</v>
      </c>
      <c r="C37" s="12">
        <v>2171</v>
      </c>
      <c r="D37" s="8">
        <v>2.2200000000000002</v>
      </c>
      <c r="E37" s="12">
        <v>770</v>
      </c>
      <c r="F37" s="8">
        <v>1.79</v>
      </c>
      <c r="G37" s="12">
        <v>1393</v>
      </c>
      <c r="H37" s="8">
        <v>2.57</v>
      </c>
      <c r="I37" s="12">
        <v>4</v>
      </c>
    </row>
    <row r="38" spans="2:9" ht="15" customHeight="1" x14ac:dyDescent="0.2">
      <c r="B38" t="s">
        <v>99</v>
      </c>
      <c r="C38" s="12">
        <v>2146</v>
      </c>
      <c r="D38" s="8">
        <v>2.2000000000000002</v>
      </c>
      <c r="E38" s="12">
        <v>422</v>
      </c>
      <c r="F38" s="8">
        <v>0.98</v>
      </c>
      <c r="G38" s="12">
        <v>1724</v>
      </c>
      <c r="H38" s="8">
        <v>3.18</v>
      </c>
      <c r="I38" s="12">
        <v>0</v>
      </c>
    </row>
    <row r="39" spans="2:9" ht="15" customHeight="1" x14ac:dyDescent="0.2">
      <c r="B39" t="s">
        <v>101</v>
      </c>
      <c r="C39" s="12">
        <v>2106</v>
      </c>
      <c r="D39" s="8">
        <v>2.16</v>
      </c>
      <c r="E39" s="12">
        <v>886</v>
      </c>
      <c r="F39" s="8">
        <v>2.0499999999999998</v>
      </c>
      <c r="G39" s="12">
        <v>1220</v>
      </c>
      <c r="H39" s="8">
        <v>2.25</v>
      </c>
      <c r="I39" s="12">
        <v>0</v>
      </c>
    </row>
    <row r="40" spans="2:9" ht="15" customHeight="1" x14ac:dyDescent="0.2">
      <c r="B40" t="s">
        <v>115</v>
      </c>
      <c r="C40" s="12">
        <v>2102</v>
      </c>
      <c r="D40" s="8">
        <v>2.15</v>
      </c>
      <c r="E40" s="12">
        <v>1265</v>
      </c>
      <c r="F40" s="8">
        <v>2.93</v>
      </c>
      <c r="G40" s="12">
        <v>798</v>
      </c>
      <c r="H40" s="8">
        <v>1.47</v>
      </c>
      <c r="I40" s="12">
        <v>12</v>
      </c>
    </row>
    <row r="41" spans="2:9" ht="15" customHeight="1" x14ac:dyDescent="0.2">
      <c r="B41" t="s">
        <v>102</v>
      </c>
      <c r="C41" s="12">
        <v>1919</v>
      </c>
      <c r="D41" s="8">
        <v>1.97</v>
      </c>
      <c r="E41" s="12">
        <v>268</v>
      </c>
      <c r="F41" s="8">
        <v>0.62</v>
      </c>
      <c r="G41" s="12">
        <v>1650</v>
      </c>
      <c r="H41" s="8">
        <v>3.04</v>
      </c>
      <c r="I41" s="12">
        <v>1</v>
      </c>
    </row>
    <row r="42" spans="2:9" ht="15" customHeight="1" x14ac:dyDescent="0.2">
      <c r="B42" t="s">
        <v>119</v>
      </c>
      <c r="C42" s="12">
        <v>1734</v>
      </c>
      <c r="D42" s="8">
        <v>1.78</v>
      </c>
      <c r="E42" s="12">
        <v>158</v>
      </c>
      <c r="F42" s="8">
        <v>0.37</v>
      </c>
      <c r="G42" s="12">
        <v>1543</v>
      </c>
      <c r="H42" s="8">
        <v>2.84</v>
      </c>
      <c r="I42" s="12">
        <v>30</v>
      </c>
    </row>
    <row r="43" spans="2:9" ht="15" customHeight="1" x14ac:dyDescent="0.2">
      <c r="B43" t="s">
        <v>118</v>
      </c>
      <c r="C43" s="12">
        <v>1571</v>
      </c>
      <c r="D43" s="8">
        <v>1.61</v>
      </c>
      <c r="E43" s="12">
        <v>254</v>
      </c>
      <c r="F43" s="8">
        <v>0.59</v>
      </c>
      <c r="G43" s="12">
        <v>1317</v>
      </c>
      <c r="H43" s="8">
        <v>2.4300000000000002</v>
      </c>
      <c r="I43" s="12">
        <v>0</v>
      </c>
    </row>
    <row r="46" spans="2:9" ht="33" customHeight="1" x14ac:dyDescent="0.2">
      <c r="B46" t="s">
        <v>273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160</v>
      </c>
      <c r="C47" s="12">
        <v>5280</v>
      </c>
      <c r="D47" s="8">
        <v>5.41</v>
      </c>
      <c r="E47" s="12">
        <v>1941</v>
      </c>
      <c r="F47" s="8">
        <v>4.5</v>
      </c>
      <c r="G47" s="12">
        <v>3339</v>
      </c>
      <c r="H47" s="8">
        <v>6.15</v>
      </c>
      <c r="I47" s="12">
        <v>0</v>
      </c>
    </row>
    <row r="48" spans="2:9" ht="15" customHeight="1" x14ac:dyDescent="0.2">
      <c r="B48" t="s">
        <v>164</v>
      </c>
      <c r="C48" s="12">
        <v>3009</v>
      </c>
      <c r="D48" s="8">
        <v>3.08</v>
      </c>
      <c r="E48" s="12">
        <v>2290</v>
      </c>
      <c r="F48" s="8">
        <v>5.31</v>
      </c>
      <c r="G48" s="12">
        <v>719</v>
      </c>
      <c r="H48" s="8">
        <v>1.32</v>
      </c>
      <c r="I48" s="12">
        <v>0</v>
      </c>
    </row>
    <row r="49" spans="2:9" ht="15" customHeight="1" x14ac:dyDescent="0.2">
      <c r="B49" t="s">
        <v>165</v>
      </c>
      <c r="C49" s="12">
        <v>2762</v>
      </c>
      <c r="D49" s="8">
        <v>2.83</v>
      </c>
      <c r="E49" s="12">
        <v>2420</v>
      </c>
      <c r="F49" s="8">
        <v>5.61</v>
      </c>
      <c r="G49" s="12">
        <v>342</v>
      </c>
      <c r="H49" s="8">
        <v>0.63</v>
      </c>
      <c r="I49" s="12">
        <v>0</v>
      </c>
    </row>
    <row r="50" spans="2:9" ht="15" customHeight="1" x14ac:dyDescent="0.2">
      <c r="B50" t="s">
        <v>169</v>
      </c>
      <c r="C50" s="12">
        <v>2698</v>
      </c>
      <c r="D50" s="8">
        <v>2.76</v>
      </c>
      <c r="E50" s="12">
        <v>2323</v>
      </c>
      <c r="F50" s="8">
        <v>5.39</v>
      </c>
      <c r="G50" s="12">
        <v>375</v>
      </c>
      <c r="H50" s="8">
        <v>0.69</v>
      </c>
      <c r="I50" s="12">
        <v>0</v>
      </c>
    </row>
    <row r="51" spans="2:9" ht="15" customHeight="1" x14ac:dyDescent="0.2">
      <c r="B51" t="s">
        <v>167</v>
      </c>
      <c r="C51" s="12">
        <v>2378</v>
      </c>
      <c r="D51" s="8">
        <v>2.44</v>
      </c>
      <c r="E51" s="12">
        <v>2190</v>
      </c>
      <c r="F51" s="8">
        <v>5.08</v>
      </c>
      <c r="G51" s="12">
        <v>186</v>
      </c>
      <c r="H51" s="8">
        <v>0.34</v>
      </c>
      <c r="I51" s="12">
        <v>2</v>
      </c>
    </row>
    <row r="52" spans="2:9" ht="15" customHeight="1" x14ac:dyDescent="0.2">
      <c r="B52" t="s">
        <v>171</v>
      </c>
      <c r="C52" s="12">
        <v>2307</v>
      </c>
      <c r="D52" s="8">
        <v>2.36</v>
      </c>
      <c r="E52" s="12">
        <v>1918</v>
      </c>
      <c r="F52" s="8">
        <v>4.45</v>
      </c>
      <c r="G52" s="12">
        <v>388</v>
      </c>
      <c r="H52" s="8">
        <v>0.71</v>
      </c>
      <c r="I52" s="12">
        <v>1</v>
      </c>
    </row>
    <row r="53" spans="2:9" ht="15" customHeight="1" x14ac:dyDescent="0.2">
      <c r="B53" t="s">
        <v>159</v>
      </c>
      <c r="C53" s="12">
        <v>2296</v>
      </c>
      <c r="D53" s="8">
        <v>2.35</v>
      </c>
      <c r="E53" s="12">
        <v>408</v>
      </c>
      <c r="F53" s="8">
        <v>0.95</v>
      </c>
      <c r="G53" s="12">
        <v>1885</v>
      </c>
      <c r="H53" s="8">
        <v>3.47</v>
      </c>
      <c r="I53" s="12">
        <v>3</v>
      </c>
    </row>
    <row r="54" spans="2:9" ht="15" customHeight="1" x14ac:dyDescent="0.2">
      <c r="B54" t="s">
        <v>166</v>
      </c>
      <c r="C54" s="12">
        <v>1999</v>
      </c>
      <c r="D54" s="8">
        <v>2.0499999999999998</v>
      </c>
      <c r="E54" s="12">
        <v>1832</v>
      </c>
      <c r="F54" s="8">
        <v>4.25</v>
      </c>
      <c r="G54" s="12">
        <v>166</v>
      </c>
      <c r="H54" s="8">
        <v>0.31</v>
      </c>
      <c r="I54" s="12">
        <v>1</v>
      </c>
    </row>
    <row r="55" spans="2:9" ht="15" customHeight="1" x14ac:dyDescent="0.2">
      <c r="B55" t="s">
        <v>163</v>
      </c>
      <c r="C55" s="12">
        <v>1989</v>
      </c>
      <c r="D55" s="8">
        <v>2.04</v>
      </c>
      <c r="E55" s="12">
        <v>1871</v>
      </c>
      <c r="F55" s="8">
        <v>4.34</v>
      </c>
      <c r="G55" s="12">
        <v>118</v>
      </c>
      <c r="H55" s="8">
        <v>0.22</v>
      </c>
      <c r="I55" s="12">
        <v>0</v>
      </c>
    </row>
    <row r="56" spans="2:9" ht="15" customHeight="1" x14ac:dyDescent="0.2">
      <c r="B56" t="s">
        <v>157</v>
      </c>
      <c r="C56" s="12">
        <v>1899</v>
      </c>
      <c r="D56" s="8">
        <v>1.94</v>
      </c>
      <c r="E56" s="12">
        <v>1291</v>
      </c>
      <c r="F56" s="8">
        <v>2.99</v>
      </c>
      <c r="G56" s="12">
        <v>607</v>
      </c>
      <c r="H56" s="8">
        <v>1.1200000000000001</v>
      </c>
      <c r="I56" s="12">
        <v>1</v>
      </c>
    </row>
    <row r="57" spans="2:9" ht="15" customHeight="1" x14ac:dyDescent="0.2">
      <c r="B57" t="s">
        <v>158</v>
      </c>
      <c r="C57" s="12">
        <v>1729</v>
      </c>
      <c r="D57" s="8">
        <v>1.77</v>
      </c>
      <c r="E57" s="12">
        <v>260</v>
      </c>
      <c r="F57" s="8">
        <v>0.6</v>
      </c>
      <c r="G57" s="12">
        <v>1468</v>
      </c>
      <c r="H57" s="8">
        <v>2.7</v>
      </c>
      <c r="I57" s="12">
        <v>1</v>
      </c>
    </row>
    <row r="58" spans="2:9" ht="15" customHeight="1" x14ac:dyDescent="0.2">
      <c r="B58" t="s">
        <v>154</v>
      </c>
      <c r="C58" s="12">
        <v>1459</v>
      </c>
      <c r="D58" s="8">
        <v>1.49</v>
      </c>
      <c r="E58" s="12">
        <v>220</v>
      </c>
      <c r="F58" s="8">
        <v>0.51</v>
      </c>
      <c r="G58" s="12">
        <v>1239</v>
      </c>
      <c r="H58" s="8">
        <v>2.2799999999999998</v>
      </c>
      <c r="I58" s="12">
        <v>0</v>
      </c>
    </row>
    <row r="59" spans="2:9" ht="15" customHeight="1" x14ac:dyDescent="0.2">
      <c r="B59" t="s">
        <v>172</v>
      </c>
      <c r="C59" s="12">
        <v>1449</v>
      </c>
      <c r="D59" s="8">
        <v>1.48</v>
      </c>
      <c r="E59" s="12">
        <v>493</v>
      </c>
      <c r="F59" s="8">
        <v>1.1399999999999999</v>
      </c>
      <c r="G59" s="12">
        <v>950</v>
      </c>
      <c r="H59" s="8">
        <v>1.75</v>
      </c>
      <c r="I59" s="12">
        <v>2</v>
      </c>
    </row>
    <row r="60" spans="2:9" ht="15" customHeight="1" x14ac:dyDescent="0.2">
      <c r="B60" t="s">
        <v>162</v>
      </c>
      <c r="C60" s="12">
        <v>1428</v>
      </c>
      <c r="D60" s="8">
        <v>1.46</v>
      </c>
      <c r="E60" s="12">
        <v>101</v>
      </c>
      <c r="F60" s="8">
        <v>0.23</v>
      </c>
      <c r="G60" s="12">
        <v>1315</v>
      </c>
      <c r="H60" s="8">
        <v>2.42</v>
      </c>
      <c r="I60" s="12">
        <v>11</v>
      </c>
    </row>
    <row r="61" spans="2:9" ht="15" customHeight="1" x14ac:dyDescent="0.2">
      <c r="B61" t="s">
        <v>168</v>
      </c>
      <c r="C61" s="12">
        <v>1385</v>
      </c>
      <c r="D61" s="8">
        <v>1.42</v>
      </c>
      <c r="E61" s="12">
        <v>1314</v>
      </c>
      <c r="F61" s="8">
        <v>3.05</v>
      </c>
      <c r="G61" s="12">
        <v>71</v>
      </c>
      <c r="H61" s="8">
        <v>0.13</v>
      </c>
      <c r="I61" s="12">
        <v>0</v>
      </c>
    </row>
    <row r="62" spans="2:9" ht="15" customHeight="1" x14ac:dyDescent="0.2">
      <c r="B62" t="s">
        <v>170</v>
      </c>
      <c r="C62" s="12">
        <v>1308</v>
      </c>
      <c r="D62" s="8">
        <v>1.34</v>
      </c>
      <c r="E62" s="12">
        <v>918</v>
      </c>
      <c r="F62" s="8">
        <v>2.13</v>
      </c>
      <c r="G62" s="12">
        <v>385</v>
      </c>
      <c r="H62" s="8">
        <v>0.71</v>
      </c>
      <c r="I62" s="12">
        <v>5</v>
      </c>
    </row>
    <row r="63" spans="2:9" ht="15" customHeight="1" x14ac:dyDescent="0.2">
      <c r="B63" t="s">
        <v>161</v>
      </c>
      <c r="C63" s="12">
        <v>1307</v>
      </c>
      <c r="D63" s="8">
        <v>1.34</v>
      </c>
      <c r="E63" s="12">
        <v>814</v>
      </c>
      <c r="F63" s="8">
        <v>1.89</v>
      </c>
      <c r="G63" s="12">
        <v>492</v>
      </c>
      <c r="H63" s="8">
        <v>0.91</v>
      </c>
      <c r="I63" s="12">
        <v>1</v>
      </c>
    </row>
    <row r="64" spans="2:9" ht="15" customHeight="1" x14ac:dyDescent="0.2">
      <c r="B64" t="s">
        <v>155</v>
      </c>
      <c r="C64" s="12">
        <v>1283</v>
      </c>
      <c r="D64" s="8">
        <v>1.31</v>
      </c>
      <c r="E64" s="12">
        <v>600</v>
      </c>
      <c r="F64" s="8">
        <v>1.39</v>
      </c>
      <c r="G64" s="12">
        <v>682</v>
      </c>
      <c r="H64" s="8">
        <v>1.26</v>
      </c>
      <c r="I64" s="12">
        <v>1</v>
      </c>
    </row>
    <row r="65" spans="2:9" ht="15" customHeight="1" x14ac:dyDescent="0.2">
      <c r="B65" t="s">
        <v>156</v>
      </c>
      <c r="C65" s="12">
        <v>1255</v>
      </c>
      <c r="D65" s="8">
        <v>1.29</v>
      </c>
      <c r="E65" s="12">
        <v>871</v>
      </c>
      <c r="F65" s="8">
        <v>2.02</v>
      </c>
      <c r="G65" s="12">
        <v>384</v>
      </c>
      <c r="H65" s="8">
        <v>0.71</v>
      </c>
      <c r="I65" s="12">
        <v>0</v>
      </c>
    </row>
    <row r="66" spans="2:9" ht="15" customHeight="1" x14ac:dyDescent="0.2">
      <c r="B66" t="s">
        <v>173</v>
      </c>
      <c r="C66" s="12">
        <v>1211</v>
      </c>
      <c r="D66" s="8">
        <v>1.24</v>
      </c>
      <c r="E66" s="12">
        <v>114</v>
      </c>
      <c r="F66" s="8">
        <v>0.26</v>
      </c>
      <c r="G66" s="12">
        <v>1065</v>
      </c>
      <c r="H66" s="8">
        <v>1.96</v>
      </c>
      <c r="I66" s="12">
        <v>29</v>
      </c>
    </row>
    <row r="68" spans="2:9" ht="15" customHeight="1" x14ac:dyDescent="0.2">
      <c r="B68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0255A-EF82-477F-9376-87D61B958D45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329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372</v>
      </c>
      <c r="D6" s="8">
        <v>12.22</v>
      </c>
      <c r="E6" s="12">
        <v>68</v>
      </c>
      <c r="F6" s="8">
        <v>4.41</v>
      </c>
      <c r="G6" s="12">
        <v>304</v>
      </c>
      <c r="H6" s="8">
        <v>20.29</v>
      </c>
      <c r="I6" s="12">
        <v>0</v>
      </c>
    </row>
    <row r="7" spans="2:9" ht="15" customHeight="1" x14ac:dyDescent="0.2">
      <c r="B7" t="s">
        <v>77</v>
      </c>
      <c r="C7" s="12">
        <v>435</v>
      </c>
      <c r="D7" s="8">
        <v>14.29</v>
      </c>
      <c r="E7" s="12">
        <v>153</v>
      </c>
      <c r="F7" s="8">
        <v>9.92</v>
      </c>
      <c r="G7" s="12">
        <v>282</v>
      </c>
      <c r="H7" s="8">
        <v>18.829999999999998</v>
      </c>
      <c r="I7" s="12">
        <v>0</v>
      </c>
    </row>
    <row r="8" spans="2:9" ht="15" customHeight="1" x14ac:dyDescent="0.2">
      <c r="B8" t="s">
        <v>78</v>
      </c>
      <c r="C8" s="12">
        <v>2</v>
      </c>
      <c r="D8" s="8">
        <v>7.0000000000000007E-2</v>
      </c>
      <c r="E8" s="12">
        <v>0</v>
      </c>
      <c r="F8" s="8">
        <v>0</v>
      </c>
      <c r="G8" s="12">
        <v>2</v>
      </c>
      <c r="H8" s="8">
        <v>0.13</v>
      </c>
      <c r="I8" s="12">
        <v>0</v>
      </c>
    </row>
    <row r="9" spans="2:9" ht="15" customHeight="1" x14ac:dyDescent="0.2">
      <c r="B9" t="s">
        <v>79</v>
      </c>
      <c r="C9" s="12">
        <v>17</v>
      </c>
      <c r="D9" s="8">
        <v>0.56000000000000005</v>
      </c>
      <c r="E9" s="12">
        <v>1</v>
      </c>
      <c r="F9" s="8">
        <v>0.06</v>
      </c>
      <c r="G9" s="12">
        <v>16</v>
      </c>
      <c r="H9" s="8">
        <v>1.07</v>
      </c>
      <c r="I9" s="12">
        <v>0</v>
      </c>
    </row>
    <row r="10" spans="2:9" ht="15" customHeight="1" x14ac:dyDescent="0.2">
      <c r="B10" t="s">
        <v>80</v>
      </c>
      <c r="C10" s="12">
        <v>63</v>
      </c>
      <c r="D10" s="8">
        <v>2.0699999999999998</v>
      </c>
      <c r="E10" s="12">
        <v>18</v>
      </c>
      <c r="F10" s="8">
        <v>1.17</v>
      </c>
      <c r="G10" s="12">
        <v>45</v>
      </c>
      <c r="H10" s="8">
        <v>3</v>
      </c>
      <c r="I10" s="12">
        <v>0</v>
      </c>
    </row>
    <row r="11" spans="2:9" ht="15" customHeight="1" x14ac:dyDescent="0.2">
      <c r="B11" t="s">
        <v>81</v>
      </c>
      <c r="C11" s="12">
        <v>511</v>
      </c>
      <c r="D11" s="8">
        <v>16.78</v>
      </c>
      <c r="E11" s="12">
        <v>286</v>
      </c>
      <c r="F11" s="8">
        <v>18.54</v>
      </c>
      <c r="G11" s="12">
        <v>225</v>
      </c>
      <c r="H11" s="8">
        <v>15.02</v>
      </c>
      <c r="I11" s="12">
        <v>0</v>
      </c>
    </row>
    <row r="12" spans="2:9" ht="15" customHeight="1" x14ac:dyDescent="0.2">
      <c r="B12" t="s">
        <v>82</v>
      </c>
      <c r="C12" s="12">
        <v>9</v>
      </c>
      <c r="D12" s="8">
        <v>0.3</v>
      </c>
      <c r="E12" s="12">
        <v>1</v>
      </c>
      <c r="F12" s="8">
        <v>0.06</v>
      </c>
      <c r="G12" s="12">
        <v>8</v>
      </c>
      <c r="H12" s="8">
        <v>0.53</v>
      </c>
      <c r="I12" s="12">
        <v>0</v>
      </c>
    </row>
    <row r="13" spans="2:9" ht="15" customHeight="1" x14ac:dyDescent="0.2">
      <c r="B13" t="s">
        <v>83</v>
      </c>
      <c r="C13" s="12">
        <v>395</v>
      </c>
      <c r="D13" s="8">
        <v>12.97</v>
      </c>
      <c r="E13" s="12">
        <v>66</v>
      </c>
      <c r="F13" s="8">
        <v>4.28</v>
      </c>
      <c r="G13" s="12">
        <v>329</v>
      </c>
      <c r="H13" s="8">
        <v>21.96</v>
      </c>
      <c r="I13" s="12">
        <v>0</v>
      </c>
    </row>
    <row r="14" spans="2:9" ht="15" customHeight="1" x14ac:dyDescent="0.2">
      <c r="B14" t="s">
        <v>84</v>
      </c>
      <c r="C14" s="12">
        <v>73</v>
      </c>
      <c r="D14" s="8">
        <v>2.4</v>
      </c>
      <c r="E14" s="12">
        <v>34</v>
      </c>
      <c r="F14" s="8">
        <v>2.2000000000000002</v>
      </c>
      <c r="G14" s="12">
        <v>39</v>
      </c>
      <c r="H14" s="8">
        <v>2.6</v>
      </c>
      <c r="I14" s="12">
        <v>0</v>
      </c>
    </row>
    <row r="15" spans="2:9" ht="15" customHeight="1" x14ac:dyDescent="0.2">
      <c r="B15" t="s">
        <v>85</v>
      </c>
      <c r="C15" s="12">
        <v>503</v>
      </c>
      <c r="D15" s="8">
        <v>16.52</v>
      </c>
      <c r="E15" s="12">
        <v>460</v>
      </c>
      <c r="F15" s="8">
        <v>29.81</v>
      </c>
      <c r="G15" s="12">
        <v>43</v>
      </c>
      <c r="H15" s="8">
        <v>2.87</v>
      </c>
      <c r="I15" s="12">
        <v>0</v>
      </c>
    </row>
    <row r="16" spans="2:9" ht="15" customHeight="1" x14ac:dyDescent="0.2">
      <c r="B16" t="s">
        <v>86</v>
      </c>
      <c r="C16" s="12">
        <v>336</v>
      </c>
      <c r="D16" s="8">
        <v>11.03</v>
      </c>
      <c r="E16" s="12">
        <v>273</v>
      </c>
      <c r="F16" s="8">
        <v>17.690000000000001</v>
      </c>
      <c r="G16" s="12">
        <v>63</v>
      </c>
      <c r="H16" s="8">
        <v>4.21</v>
      </c>
      <c r="I16" s="12">
        <v>0</v>
      </c>
    </row>
    <row r="17" spans="2:9" ht="15" customHeight="1" x14ac:dyDescent="0.2">
      <c r="B17" t="s">
        <v>87</v>
      </c>
      <c r="C17" s="12">
        <v>55</v>
      </c>
      <c r="D17" s="8">
        <v>1.81</v>
      </c>
      <c r="E17" s="12">
        <v>39</v>
      </c>
      <c r="F17" s="8">
        <v>2.5299999999999998</v>
      </c>
      <c r="G17" s="12">
        <v>15</v>
      </c>
      <c r="H17" s="8">
        <v>1</v>
      </c>
      <c r="I17" s="12">
        <v>0</v>
      </c>
    </row>
    <row r="18" spans="2:9" ht="15" customHeight="1" x14ac:dyDescent="0.2">
      <c r="B18" t="s">
        <v>88</v>
      </c>
      <c r="C18" s="12">
        <v>167</v>
      </c>
      <c r="D18" s="8">
        <v>5.48</v>
      </c>
      <c r="E18" s="12">
        <v>94</v>
      </c>
      <c r="F18" s="8">
        <v>6.09</v>
      </c>
      <c r="G18" s="12">
        <v>71</v>
      </c>
      <c r="H18" s="8">
        <v>4.74</v>
      </c>
      <c r="I18" s="12">
        <v>0</v>
      </c>
    </row>
    <row r="19" spans="2:9" ht="15" customHeight="1" x14ac:dyDescent="0.2">
      <c r="B19" t="s">
        <v>89</v>
      </c>
      <c r="C19" s="12">
        <v>107</v>
      </c>
      <c r="D19" s="8">
        <v>3.51</v>
      </c>
      <c r="E19" s="12">
        <v>50</v>
      </c>
      <c r="F19" s="8">
        <v>3.24</v>
      </c>
      <c r="G19" s="12">
        <v>56</v>
      </c>
      <c r="H19" s="8">
        <v>3.74</v>
      </c>
      <c r="I19" s="12">
        <v>1</v>
      </c>
    </row>
    <row r="20" spans="2:9" ht="15" customHeight="1" x14ac:dyDescent="0.2">
      <c r="B20" s="9" t="s">
        <v>271</v>
      </c>
      <c r="C20" s="12">
        <f>SUM(LTBL_27223[総数／事業所数])</f>
        <v>3045</v>
      </c>
      <c r="E20" s="12">
        <f>SUBTOTAL(109,LTBL_27223[個人／事業所数])</f>
        <v>1543</v>
      </c>
      <c r="G20" s="12">
        <f>SUBTOTAL(109,LTBL_27223[法人／事業所数])</f>
        <v>1498</v>
      </c>
      <c r="I20" s="12">
        <f>SUBTOTAL(109,LTBL_27223[法人以外の団体／事業所数])</f>
        <v>1</v>
      </c>
    </row>
    <row r="21" spans="2:9" ht="15" customHeight="1" x14ac:dyDescent="0.2">
      <c r="E21" s="11">
        <f>LTBL_27223[[#Totals],[個人／事業所数]]/LTBL_27223[[#Totals],[総数／事業所数]]</f>
        <v>0.50673234811165846</v>
      </c>
      <c r="G21" s="11">
        <f>LTBL_27223[[#Totals],[法人／事業所数]]/LTBL_27223[[#Totals],[総数／事業所数]]</f>
        <v>0.49195402298850577</v>
      </c>
      <c r="I21" s="11">
        <f>LTBL_27223[[#Totals],[法人以外の団体／事業所数]]/LTBL_27223[[#Totals],[総数／事業所数]]</f>
        <v>3.2840722495894911E-4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113</v>
      </c>
      <c r="C24" s="12">
        <v>463</v>
      </c>
      <c r="D24" s="8">
        <v>15.21</v>
      </c>
      <c r="E24" s="12">
        <v>441</v>
      </c>
      <c r="F24" s="8">
        <v>28.58</v>
      </c>
      <c r="G24" s="12">
        <v>22</v>
      </c>
      <c r="H24" s="8">
        <v>1.47</v>
      </c>
      <c r="I24" s="12">
        <v>0</v>
      </c>
    </row>
    <row r="25" spans="2:9" ht="15" customHeight="1" x14ac:dyDescent="0.2">
      <c r="B25" t="s">
        <v>110</v>
      </c>
      <c r="C25" s="12">
        <v>322</v>
      </c>
      <c r="D25" s="8">
        <v>10.57</v>
      </c>
      <c r="E25" s="12">
        <v>43</v>
      </c>
      <c r="F25" s="8">
        <v>2.79</v>
      </c>
      <c r="G25" s="12">
        <v>279</v>
      </c>
      <c r="H25" s="8">
        <v>18.62</v>
      </c>
      <c r="I25" s="12">
        <v>0</v>
      </c>
    </row>
    <row r="26" spans="2:9" ht="15" customHeight="1" x14ac:dyDescent="0.2">
      <c r="B26" t="s">
        <v>114</v>
      </c>
      <c r="C26" s="12">
        <v>267</v>
      </c>
      <c r="D26" s="8">
        <v>8.77</v>
      </c>
      <c r="E26" s="12">
        <v>235</v>
      </c>
      <c r="F26" s="8">
        <v>15.23</v>
      </c>
      <c r="G26" s="12">
        <v>32</v>
      </c>
      <c r="H26" s="8">
        <v>2.14</v>
      </c>
      <c r="I26" s="12">
        <v>0</v>
      </c>
    </row>
    <row r="27" spans="2:9" ht="15" customHeight="1" x14ac:dyDescent="0.2">
      <c r="B27" t="s">
        <v>108</v>
      </c>
      <c r="C27" s="12">
        <v>155</v>
      </c>
      <c r="D27" s="8">
        <v>5.09</v>
      </c>
      <c r="E27" s="12">
        <v>99</v>
      </c>
      <c r="F27" s="8">
        <v>6.42</v>
      </c>
      <c r="G27" s="12">
        <v>56</v>
      </c>
      <c r="H27" s="8">
        <v>3.74</v>
      </c>
      <c r="I27" s="12">
        <v>0</v>
      </c>
    </row>
    <row r="28" spans="2:9" ht="15" customHeight="1" x14ac:dyDescent="0.2">
      <c r="B28" t="s">
        <v>99</v>
      </c>
      <c r="C28" s="12">
        <v>137</v>
      </c>
      <c r="D28" s="8">
        <v>4.5</v>
      </c>
      <c r="E28" s="12">
        <v>25</v>
      </c>
      <c r="F28" s="8">
        <v>1.62</v>
      </c>
      <c r="G28" s="12">
        <v>112</v>
      </c>
      <c r="H28" s="8">
        <v>7.48</v>
      </c>
      <c r="I28" s="12">
        <v>0</v>
      </c>
    </row>
    <row r="29" spans="2:9" ht="15" customHeight="1" x14ac:dyDescent="0.2">
      <c r="B29" t="s">
        <v>100</v>
      </c>
      <c r="C29" s="12">
        <v>124</v>
      </c>
      <c r="D29" s="8">
        <v>4.07</v>
      </c>
      <c r="E29" s="12">
        <v>22</v>
      </c>
      <c r="F29" s="8">
        <v>1.43</v>
      </c>
      <c r="G29" s="12">
        <v>102</v>
      </c>
      <c r="H29" s="8">
        <v>6.81</v>
      </c>
      <c r="I29" s="12">
        <v>0</v>
      </c>
    </row>
    <row r="30" spans="2:9" ht="15" customHeight="1" x14ac:dyDescent="0.2">
      <c r="B30" t="s">
        <v>98</v>
      </c>
      <c r="C30" s="12">
        <v>111</v>
      </c>
      <c r="D30" s="8">
        <v>3.65</v>
      </c>
      <c r="E30" s="12">
        <v>21</v>
      </c>
      <c r="F30" s="8">
        <v>1.36</v>
      </c>
      <c r="G30" s="12">
        <v>90</v>
      </c>
      <c r="H30" s="8">
        <v>6.01</v>
      </c>
      <c r="I30" s="12">
        <v>0</v>
      </c>
    </row>
    <row r="31" spans="2:9" ht="15" customHeight="1" x14ac:dyDescent="0.2">
      <c r="B31" t="s">
        <v>116</v>
      </c>
      <c r="C31" s="12">
        <v>110</v>
      </c>
      <c r="D31" s="8">
        <v>3.61</v>
      </c>
      <c r="E31" s="12">
        <v>93</v>
      </c>
      <c r="F31" s="8">
        <v>6.03</v>
      </c>
      <c r="G31" s="12">
        <v>17</v>
      </c>
      <c r="H31" s="8">
        <v>1.1299999999999999</v>
      </c>
      <c r="I31" s="12">
        <v>0</v>
      </c>
    </row>
    <row r="32" spans="2:9" ht="15" customHeight="1" x14ac:dyDescent="0.2">
      <c r="B32" t="s">
        <v>101</v>
      </c>
      <c r="C32" s="12">
        <v>103</v>
      </c>
      <c r="D32" s="8">
        <v>3.38</v>
      </c>
      <c r="E32" s="12">
        <v>45</v>
      </c>
      <c r="F32" s="8">
        <v>2.92</v>
      </c>
      <c r="G32" s="12">
        <v>58</v>
      </c>
      <c r="H32" s="8">
        <v>3.87</v>
      </c>
      <c r="I32" s="12">
        <v>0</v>
      </c>
    </row>
    <row r="33" spans="2:9" ht="15" customHeight="1" x14ac:dyDescent="0.2">
      <c r="B33" t="s">
        <v>106</v>
      </c>
      <c r="C33" s="12">
        <v>101</v>
      </c>
      <c r="D33" s="8">
        <v>3.32</v>
      </c>
      <c r="E33" s="12">
        <v>76</v>
      </c>
      <c r="F33" s="8">
        <v>4.93</v>
      </c>
      <c r="G33" s="12">
        <v>25</v>
      </c>
      <c r="H33" s="8">
        <v>1.67</v>
      </c>
      <c r="I33" s="12">
        <v>0</v>
      </c>
    </row>
    <row r="34" spans="2:9" ht="15" customHeight="1" x14ac:dyDescent="0.2">
      <c r="B34" t="s">
        <v>107</v>
      </c>
      <c r="C34" s="12">
        <v>81</v>
      </c>
      <c r="D34" s="8">
        <v>2.66</v>
      </c>
      <c r="E34" s="12">
        <v>53</v>
      </c>
      <c r="F34" s="8">
        <v>3.43</v>
      </c>
      <c r="G34" s="12">
        <v>28</v>
      </c>
      <c r="H34" s="8">
        <v>1.87</v>
      </c>
      <c r="I34" s="12">
        <v>0</v>
      </c>
    </row>
    <row r="35" spans="2:9" ht="15" customHeight="1" x14ac:dyDescent="0.2">
      <c r="B35" t="s">
        <v>109</v>
      </c>
      <c r="C35" s="12">
        <v>69</v>
      </c>
      <c r="D35" s="8">
        <v>2.27</v>
      </c>
      <c r="E35" s="12">
        <v>22</v>
      </c>
      <c r="F35" s="8">
        <v>1.43</v>
      </c>
      <c r="G35" s="12">
        <v>47</v>
      </c>
      <c r="H35" s="8">
        <v>3.14</v>
      </c>
      <c r="I35" s="12">
        <v>0</v>
      </c>
    </row>
    <row r="36" spans="2:9" ht="15" customHeight="1" x14ac:dyDescent="0.2">
      <c r="B36" t="s">
        <v>117</v>
      </c>
      <c r="C36" s="12">
        <v>57</v>
      </c>
      <c r="D36" s="8">
        <v>1.87</v>
      </c>
      <c r="E36" s="12">
        <v>1</v>
      </c>
      <c r="F36" s="8">
        <v>0.06</v>
      </c>
      <c r="G36" s="12">
        <v>54</v>
      </c>
      <c r="H36" s="8">
        <v>3.6</v>
      </c>
      <c r="I36" s="12">
        <v>0</v>
      </c>
    </row>
    <row r="37" spans="2:9" ht="15" customHeight="1" x14ac:dyDescent="0.2">
      <c r="B37" t="s">
        <v>115</v>
      </c>
      <c r="C37" s="12">
        <v>55</v>
      </c>
      <c r="D37" s="8">
        <v>1.81</v>
      </c>
      <c r="E37" s="12">
        <v>39</v>
      </c>
      <c r="F37" s="8">
        <v>2.5299999999999998</v>
      </c>
      <c r="G37" s="12">
        <v>15</v>
      </c>
      <c r="H37" s="8">
        <v>1</v>
      </c>
      <c r="I37" s="12">
        <v>0</v>
      </c>
    </row>
    <row r="38" spans="2:9" ht="15" customHeight="1" x14ac:dyDescent="0.2">
      <c r="B38" t="s">
        <v>127</v>
      </c>
      <c r="C38" s="12">
        <v>52</v>
      </c>
      <c r="D38" s="8">
        <v>1.71</v>
      </c>
      <c r="E38" s="12">
        <v>12</v>
      </c>
      <c r="F38" s="8">
        <v>0.78</v>
      </c>
      <c r="G38" s="12">
        <v>40</v>
      </c>
      <c r="H38" s="8">
        <v>2.67</v>
      </c>
      <c r="I38" s="12">
        <v>0</v>
      </c>
    </row>
    <row r="39" spans="2:9" ht="15" customHeight="1" x14ac:dyDescent="0.2">
      <c r="B39" t="s">
        <v>129</v>
      </c>
      <c r="C39" s="12">
        <v>51</v>
      </c>
      <c r="D39" s="8">
        <v>1.67</v>
      </c>
      <c r="E39" s="12">
        <v>35</v>
      </c>
      <c r="F39" s="8">
        <v>2.27</v>
      </c>
      <c r="G39" s="12">
        <v>16</v>
      </c>
      <c r="H39" s="8">
        <v>1.07</v>
      </c>
      <c r="I39" s="12">
        <v>0</v>
      </c>
    </row>
    <row r="40" spans="2:9" ht="15" customHeight="1" x14ac:dyDescent="0.2">
      <c r="B40" t="s">
        <v>105</v>
      </c>
      <c r="C40" s="12">
        <v>47</v>
      </c>
      <c r="D40" s="8">
        <v>1.54</v>
      </c>
      <c r="E40" s="12">
        <v>35</v>
      </c>
      <c r="F40" s="8">
        <v>2.27</v>
      </c>
      <c r="G40" s="12">
        <v>12</v>
      </c>
      <c r="H40" s="8">
        <v>0.8</v>
      </c>
      <c r="I40" s="12">
        <v>0</v>
      </c>
    </row>
    <row r="41" spans="2:9" ht="15" customHeight="1" x14ac:dyDescent="0.2">
      <c r="B41" t="s">
        <v>130</v>
      </c>
      <c r="C41" s="12">
        <v>46</v>
      </c>
      <c r="D41" s="8">
        <v>1.51</v>
      </c>
      <c r="E41" s="12">
        <v>24</v>
      </c>
      <c r="F41" s="8">
        <v>1.56</v>
      </c>
      <c r="G41" s="12">
        <v>22</v>
      </c>
      <c r="H41" s="8">
        <v>1.47</v>
      </c>
      <c r="I41" s="12">
        <v>0</v>
      </c>
    </row>
    <row r="42" spans="2:9" ht="15" customHeight="1" x14ac:dyDescent="0.2">
      <c r="B42" t="s">
        <v>104</v>
      </c>
      <c r="C42" s="12">
        <v>38</v>
      </c>
      <c r="D42" s="8">
        <v>1.25</v>
      </c>
      <c r="E42" s="12">
        <v>7</v>
      </c>
      <c r="F42" s="8">
        <v>0.45</v>
      </c>
      <c r="G42" s="12">
        <v>31</v>
      </c>
      <c r="H42" s="8">
        <v>2.0699999999999998</v>
      </c>
      <c r="I42" s="12">
        <v>0</v>
      </c>
    </row>
    <row r="43" spans="2:9" ht="15" customHeight="1" x14ac:dyDescent="0.2">
      <c r="B43" t="s">
        <v>132</v>
      </c>
      <c r="C43" s="12">
        <v>37</v>
      </c>
      <c r="D43" s="8">
        <v>1.22</v>
      </c>
      <c r="E43" s="12">
        <v>14</v>
      </c>
      <c r="F43" s="8">
        <v>0.91</v>
      </c>
      <c r="G43" s="12">
        <v>23</v>
      </c>
      <c r="H43" s="8">
        <v>1.54</v>
      </c>
      <c r="I43" s="12">
        <v>0</v>
      </c>
    </row>
    <row r="44" spans="2:9" ht="15" customHeight="1" x14ac:dyDescent="0.2">
      <c r="B44" t="s">
        <v>126</v>
      </c>
      <c r="C44" s="12">
        <v>37</v>
      </c>
      <c r="D44" s="8">
        <v>1.22</v>
      </c>
      <c r="E44" s="12">
        <v>11</v>
      </c>
      <c r="F44" s="8">
        <v>0.71</v>
      </c>
      <c r="G44" s="12">
        <v>26</v>
      </c>
      <c r="H44" s="8">
        <v>1.74</v>
      </c>
      <c r="I44" s="12">
        <v>0</v>
      </c>
    </row>
    <row r="45" spans="2:9" ht="15" customHeight="1" x14ac:dyDescent="0.2">
      <c r="B45" t="s">
        <v>111</v>
      </c>
      <c r="C45" s="12">
        <v>37</v>
      </c>
      <c r="D45" s="8">
        <v>1.22</v>
      </c>
      <c r="E45" s="12">
        <v>19</v>
      </c>
      <c r="F45" s="8">
        <v>1.23</v>
      </c>
      <c r="G45" s="12">
        <v>18</v>
      </c>
      <c r="H45" s="8">
        <v>1.2</v>
      </c>
      <c r="I45" s="12">
        <v>0</v>
      </c>
    </row>
    <row r="46" spans="2:9" ht="15" customHeight="1" x14ac:dyDescent="0.2">
      <c r="B46" t="s">
        <v>124</v>
      </c>
      <c r="C46" s="12">
        <v>37</v>
      </c>
      <c r="D46" s="8">
        <v>1.22</v>
      </c>
      <c r="E46" s="12">
        <v>18</v>
      </c>
      <c r="F46" s="8">
        <v>1.17</v>
      </c>
      <c r="G46" s="12">
        <v>19</v>
      </c>
      <c r="H46" s="8">
        <v>1.27</v>
      </c>
      <c r="I46" s="12">
        <v>0</v>
      </c>
    </row>
    <row r="49" spans="2:9" ht="33" customHeight="1" x14ac:dyDescent="0.2">
      <c r="B49" t="s">
        <v>273</v>
      </c>
      <c r="C49" s="10" t="s">
        <v>91</v>
      </c>
      <c r="D49" s="10" t="s">
        <v>92</v>
      </c>
      <c r="E49" s="10" t="s">
        <v>93</v>
      </c>
      <c r="F49" s="10" t="s">
        <v>94</v>
      </c>
      <c r="G49" s="10" t="s">
        <v>95</v>
      </c>
      <c r="H49" s="10" t="s">
        <v>96</v>
      </c>
      <c r="I49" s="10" t="s">
        <v>97</v>
      </c>
    </row>
    <row r="50" spans="2:9" ht="15" customHeight="1" x14ac:dyDescent="0.2">
      <c r="B50" t="s">
        <v>165</v>
      </c>
      <c r="C50" s="12">
        <v>141</v>
      </c>
      <c r="D50" s="8">
        <v>4.63</v>
      </c>
      <c r="E50" s="12">
        <v>136</v>
      </c>
      <c r="F50" s="8">
        <v>8.81</v>
      </c>
      <c r="G50" s="12">
        <v>5</v>
      </c>
      <c r="H50" s="8">
        <v>0.33</v>
      </c>
      <c r="I50" s="12">
        <v>0</v>
      </c>
    </row>
    <row r="51" spans="2:9" ht="15" customHeight="1" x14ac:dyDescent="0.2">
      <c r="B51" t="s">
        <v>160</v>
      </c>
      <c r="C51" s="12">
        <v>136</v>
      </c>
      <c r="D51" s="8">
        <v>4.47</v>
      </c>
      <c r="E51" s="12">
        <v>20</v>
      </c>
      <c r="F51" s="8">
        <v>1.3</v>
      </c>
      <c r="G51" s="12">
        <v>116</v>
      </c>
      <c r="H51" s="8">
        <v>7.74</v>
      </c>
      <c r="I51" s="12">
        <v>0</v>
      </c>
    </row>
    <row r="52" spans="2:9" ht="15" customHeight="1" x14ac:dyDescent="0.2">
      <c r="B52" t="s">
        <v>169</v>
      </c>
      <c r="C52" s="12">
        <v>132</v>
      </c>
      <c r="D52" s="8">
        <v>4.33</v>
      </c>
      <c r="E52" s="12">
        <v>122</v>
      </c>
      <c r="F52" s="8">
        <v>7.91</v>
      </c>
      <c r="G52" s="12">
        <v>10</v>
      </c>
      <c r="H52" s="8">
        <v>0.67</v>
      </c>
      <c r="I52" s="12">
        <v>0</v>
      </c>
    </row>
    <row r="53" spans="2:9" ht="15" customHeight="1" x14ac:dyDescent="0.2">
      <c r="B53" t="s">
        <v>167</v>
      </c>
      <c r="C53" s="12">
        <v>121</v>
      </c>
      <c r="D53" s="8">
        <v>3.97</v>
      </c>
      <c r="E53" s="12">
        <v>116</v>
      </c>
      <c r="F53" s="8">
        <v>7.52</v>
      </c>
      <c r="G53" s="12">
        <v>5</v>
      </c>
      <c r="H53" s="8">
        <v>0.33</v>
      </c>
      <c r="I53" s="12">
        <v>0</v>
      </c>
    </row>
    <row r="54" spans="2:9" ht="15" customHeight="1" x14ac:dyDescent="0.2">
      <c r="B54" t="s">
        <v>159</v>
      </c>
      <c r="C54" s="12">
        <v>98</v>
      </c>
      <c r="D54" s="8">
        <v>3.22</v>
      </c>
      <c r="E54" s="12">
        <v>3</v>
      </c>
      <c r="F54" s="8">
        <v>0.19</v>
      </c>
      <c r="G54" s="12">
        <v>95</v>
      </c>
      <c r="H54" s="8">
        <v>6.34</v>
      </c>
      <c r="I54" s="12">
        <v>0</v>
      </c>
    </row>
    <row r="55" spans="2:9" ht="15" customHeight="1" x14ac:dyDescent="0.2">
      <c r="B55" t="s">
        <v>171</v>
      </c>
      <c r="C55" s="12">
        <v>88</v>
      </c>
      <c r="D55" s="8">
        <v>2.89</v>
      </c>
      <c r="E55" s="12">
        <v>77</v>
      </c>
      <c r="F55" s="8">
        <v>4.99</v>
      </c>
      <c r="G55" s="12">
        <v>11</v>
      </c>
      <c r="H55" s="8">
        <v>0.73</v>
      </c>
      <c r="I55" s="12">
        <v>0</v>
      </c>
    </row>
    <row r="56" spans="2:9" ht="15" customHeight="1" x14ac:dyDescent="0.2">
      <c r="B56" t="s">
        <v>168</v>
      </c>
      <c r="C56" s="12">
        <v>84</v>
      </c>
      <c r="D56" s="8">
        <v>2.76</v>
      </c>
      <c r="E56" s="12">
        <v>83</v>
      </c>
      <c r="F56" s="8">
        <v>5.38</v>
      </c>
      <c r="G56" s="12">
        <v>1</v>
      </c>
      <c r="H56" s="8">
        <v>7.0000000000000007E-2</v>
      </c>
      <c r="I56" s="12">
        <v>0</v>
      </c>
    </row>
    <row r="57" spans="2:9" ht="15" customHeight="1" x14ac:dyDescent="0.2">
      <c r="B57" t="s">
        <v>164</v>
      </c>
      <c r="C57" s="12">
        <v>72</v>
      </c>
      <c r="D57" s="8">
        <v>2.36</v>
      </c>
      <c r="E57" s="12">
        <v>65</v>
      </c>
      <c r="F57" s="8">
        <v>4.21</v>
      </c>
      <c r="G57" s="12">
        <v>7</v>
      </c>
      <c r="H57" s="8">
        <v>0.47</v>
      </c>
      <c r="I57" s="12">
        <v>0</v>
      </c>
    </row>
    <row r="58" spans="2:9" ht="15" customHeight="1" x14ac:dyDescent="0.2">
      <c r="B58" t="s">
        <v>157</v>
      </c>
      <c r="C58" s="12">
        <v>64</v>
      </c>
      <c r="D58" s="8">
        <v>2.1</v>
      </c>
      <c r="E58" s="12">
        <v>51</v>
      </c>
      <c r="F58" s="8">
        <v>3.31</v>
      </c>
      <c r="G58" s="12">
        <v>13</v>
      </c>
      <c r="H58" s="8">
        <v>0.87</v>
      </c>
      <c r="I58" s="12">
        <v>0</v>
      </c>
    </row>
    <row r="59" spans="2:9" ht="15" customHeight="1" x14ac:dyDescent="0.2">
      <c r="B59" t="s">
        <v>162</v>
      </c>
      <c r="C59" s="12">
        <v>58</v>
      </c>
      <c r="D59" s="8">
        <v>1.9</v>
      </c>
      <c r="E59" s="12">
        <v>4</v>
      </c>
      <c r="F59" s="8">
        <v>0.26</v>
      </c>
      <c r="G59" s="12">
        <v>54</v>
      </c>
      <c r="H59" s="8">
        <v>3.6</v>
      </c>
      <c r="I59" s="12">
        <v>0</v>
      </c>
    </row>
    <row r="60" spans="2:9" ht="15" customHeight="1" x14ac:dyDescent="0.2">
      <c r="B60" t="s">
        <v>153</v>
      </c>
      <c r="C60" s="12">
        <v>57</v>
      </c>
      <c r="D60" s="8">
        <v>1.87</v>
      </c>
      <c r="E60" s="12">
        <v>11</v>
      </c>
      <c r="F60" s="8">
        <v>0.71</v>
      </c>
      <c r="G60" s="12">
        <v>46</v>
      </c>
      <c r="H60" s="8">
        <v>3.07</v>
      </c>
      <c r="I60" s="12">
        <v>0</v>
      </c>
    </row>
    <row r="61" spans="2:9" ht="15" customHeight="1" x14ac:dyDescent="0.2">
      <c r="B61" t="s">
        <v>166</v>
      </c>
      <c r="C61" s="12">
        <v>53</v>
      </c>
      <c r="D61" s="8">
        <v>1.74</v>
      </c>
      <c r="E61" s="12">
        <v>53</v>
      </c>
      <c r="F61" s="8">
        <v>3.43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192</v>
      </c>
      <c r="C62" s="12">
        <v>50</v>
      </c>
      <c r="D62" s="8">
        <v>1.64</v>
      </c>
      <c r="E62" s="12">
        <v>22</v>
      </c>
      <c r="F62" s="8">
        <v>1.43</v>
      </c>
      <c r="G62" s="12">
        <v>28</v>
      </c>
      <c r="H62" s="8">
        <v>1.87</v>
      </c>
      <c r="I62" s="12">
        <v>0</v>
      </c>
    </row>
    <row r="63" spans="2:9" ht="15" customHeight="1" x14ac:dyDescent="0.2">
      <c r="B63" t="s">
        <v>198</v>
      </c>
      <c r="C63" s="12">
        <v>50</v>
      </c>
      <c r="D63" s="8">
        <v>1.64</v>
      </c>
      <c r="E63" s="12">
        <v>35</v>
      </c>
      <c r="F63" s="8">
        <v>2.27</v>
      </c>
      <c r="G63" s="12">
        <v>15</v>
      </c>
      <c r="H63" s="8">
        <v>1</v>
      </c>
      <c r="I63" s="12">
        <v>0</v>
      </c>
    </row>
    <row r="64" spans="2:9" ht="15" customHeight="1" x14ac:dyDescent="0.2">
      <c r="B64" t="s">
        <v>215</v>
      </c>
      <c r="C64" s="12">
        <v>45</v>
      </c>
      <c r="D64" s="8">
        <v>1.48</v>
      </c>
      <c r="E64" s="12">
        <v>32</v>
      </c>
      <c r="F64" s="8">
        <v>2.0699999999999998</v>
      </c>
      <c r="G64" s="12">
        <v>13</v>
      </c>
      <c r="H64" s="8">
        <v>0.87</v>
      </c>
      <c r="I64" s="12">
        <v>0</v>
      </c>
    </row>
    <row r="65" spans="2:9" ht="15" customHeight="1" x14ac:dyDescent="0.2">
      <c r="B65" t="s">
        <v>158</v>
      </c>
      <c r="C65" s="12">
        <v>45</v>
      </c>
      <c r="D65" s="8">
        <v>1.48</v>
      </c>
      <c r="E65" s="12">
        <v>16</v>
      </c>
      <c r="F65" s="8">
        <v>1.04</v>
      </c>
      <c r="G65" s="12">
        <v>29</v>
      </c>
      <c r="H65" s="8">
        <v>1.94</v>
      </c>
      <c r="I65" s="12">
        <v>0</v>
      </c>
    </row>
    <row r="66" spans="2:9" ht="15" customHeight="1" x14ac:dyDescent="0.2">
      <c r="B66" t="s">
        <v>174</v>
      </c>
      <c r="C66" s="12">
        <v>41</v>
      </c>
      <c r="D66" s="8">
        <v>1.35</v>
      </c>
      <c r="E66" s="12">
        <v>10</v>
      </c>
      <c r="F66" s="8">
        <v>0.65</v>
      </c>
      <c r="G66" s="12">
        <v>31</v>
      </c>
      <c r="H66" s="8">
        <v>2.0699999999999998</v>
      </c>
      <c r="I66" s="12">
        <v>0</v>
      </c>
    </row>
    <row r="67" spans="2:9" ht="15" customHeight="1" x14ac:dyDescent="0.2">
      <c r="B67" t="s">
        <v>156</v>
      </c>
      <c r="C67" s="12">
        <v>39</v>
      </c>
      <c r="D67" s="8">
        <v>1.28</v>
      </c>
      <c r="E67" s="12">
        <v>30</v>
      </c>
      <c r="F67" s="8">
        <v>1.94</v>
      </c>
      <c r="G67" s="12">
        <v>9</v>
      </c>
      <c r="H67" s="8">
        <v>0.6</v>
      </c>
      <c r="I67" s="12">
        <v>0</v>
      </c>
    </row>
    <row r="68" spans="2:9" ht="15" customHeight="1" x14ac:dyDescent="0.2">
      <c r="B68" t="s">
        <v>183</v>
      </c>
      <c r="C68" s="12">
        <v>37</v>
      </c>
      <c r="D68" s="8">
        <v>1.22</v>
      </c>
      <c r="E68" s="12">
        <v>36</v>
      </c>
      <c r="F68" s="8">
        <v>2.33</v>
      </c>
      <c r="G68" s="12">
        <v>1</v>
      </c>
      <c r="H68" s="8">
        <v>7.0000000000000007E-2</v>
      </c>
      <c r="I68" s="12">
        <v>0</v>
      </c>
    </row>
    <row r="69" spans="2:9" ht="15" customHeight="1" x14ac:dyDescent="0.2">
      <c r="B69" t="s">
        <v>152</v>
      </c>
      <c r="C69" s="12">
        <v>35</v>
      </c>
      <c r="D69" s="8">
        <v>1.1499999999999999</v>
      </c>
      <c r="E69" s="12">
        <v>5</v>
      </c>
      <c r="F69" s="8">
        <v>0.32</v>
      </c>
      <c r="G69" s="12">
        <v>30</v>
      </c>
      <c r="H69" s="8">
        <v>2</v>
      </c>
      <c r="I69" s="12">
        <v>0</v>
      </c>
    </row>
    <row r="70" spans="2:9" ht="15" customHeight="1" x14ac:dyDescent="0.2">
      <c r="B70" t="s">
        <v>170</v>
      </c>
      <c r="C70" s="12">
        <v>35</v>
      </c>
      <c r="D70" s="8">
        <v>1.1499999999999999</v>
      </c>
      <c r="E70" s="12">
        <v>29</v>
      </c>
      <c r="F70" s="8">
        <v>1.88</v>
      </c>
      <c r="G70" s="12">
        <v>6</v>
      </c>
      <c r="H70" s="8">
        <v>0.4</v>
      </c>
      <c r="I70" s="12">
        <v>0</v>
      </c>
    </row>
    <row r="72" spans="2:9" ht="15" customHeight="1" x14ac:dyDescent="0.2">
      <c r="B72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3B516-956D-4B48-82AD-CFE6AD919C56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330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357</v>
      </c>
      <c r="D6" s="8">
        <v>15.93</v>
      </c>
      <c r="E6" s="12">
        <v>80</v>
      </c>
      <c r="F6" s="8">
        <v>9.2799999999999994</v>
      </c>
      <c r="G6" s="12">
        <v>277</v>
      </c>
      <c r="H6" s="8">
        <v>20.2</v>
      </c>
      <c r="I6" s="12">
        <v>0</v>
      </c>
    </row>
    <row r="7" spans="2:9" ht="15" customHeight="1" x14ac:dyDescent="0.2">
      <c r="B7" t="s">
        <v>77</v>
      </c>
      <c r="C7" s="12">
        <v>428</v>
      </c>
      <c r="D7" s="8">
        <v>19.100000000000001</v>
      </c>
      <c r="E7" s="12">
        <v>120</v>
      </c>
      <c r="F7" s="8">
        <v>13.92</v>
      </c>
      <c r="G7" s="12">
        <v>308</v>
      </c>
      <c r="H7" s="8">
        <v>22.47</v>
      </c>
      <c r="I7" s="12">
        <v>0</v>
      </c>
    </row>
    <row r="8" spans="2:9" ht="15" customHeight="1" x14ac:dyDescent="0.2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79</v>
      </c>
      <c r="C9" s="12">
        <v>10</v>
      </c>
      <c r="D9" s="8">
        <v>0.45</v>
      </c>
      <c r="E9" s="12">
        <v>0</v>
      </c>
      <c r="F9" s="8">
        <v>0</v>
      </c>
      <c r="G9" s="12">
        <v>10</v>
      </c>
      <c r="H9" s="8">
        <v>0.73</v>
      </c>
      <c r="I9" s="12">
        <v>0</v>
      </c>
    </row>
    <row r="10" spans="2:9" ht="15" customHeight="1" x14ac:dyDescent="0.2">
      <c r="B10" t="s">
        <v>80</v>
      </c>
      <c r="C10" s="12">
        <v>58</v>
      </c>
      <c r="D10" s="8">
        <v>2.59</v>
      </c>
      <c r="E10" s="12">
        <v>1</v>
      </c>
      <c r="F10" s="8">
        <v>0.12</v>
      </c>
      <c r="G10" s="12">
        <v>57</v>
      </c>
      <c r="H10" s="8">
        <v>4.16</v>
      </c>
      <c r="I10" s="12">
        <v>0</v>
      </c>
    </row>
    <row r="11" spans="2:9" ht="15" customHeight="1" x14ac:dyDescent="0.2">
      <c r="B11" t="s">
        <v>81</v>
      </c>
      <c r="C11" s="12">
        <v>357</v>
      </c>
      <c r="D11" s="8">
        <v>15.93</v>
      </c>
      <c r="E11" s="12">
        <v>156</v>
      </c>
      <c r="F11" s="8">
        <v>18.100000000000001</v>
      </c>
      <c r="G11" s="12">
        <v>201</v>
      </c>
      <c r="H11" s="8">
        <v>14.66</v>
      </c>
      <c r="I11" s="12">
        <v>0</v>
      </c>
    </row>
    <row r="12" spans="2:9" ht="15" customHeight="1" x14ac:dyDescent="0.2">
      <c r="B12" t="s">
        <v>82</v>
      </c>
      <c r="C12" s="12">
        <v>10</v>
      </c>
      <c r="D12" s="8">
        <v>0.45</v>
      </c>
      <c r="E12" s="12">
        <v>2</v>
      </c>
      <c r="F12" s="8">
        <v>0.23</v>
      </c>
      <c r="G12" s="12">
        <v>8</v>
      </c>
      <c r="H12" s="8">
        <v>0.57999999999999996</v>
      </c>
      <c r="I12" s="12">
        <v>0</v>
      </c>
    </row>
    <row r="13" spans="2:9" ht="15" customHeight="1" x14ac:dyDescent="0.2">
      <c r="B13" t="s">
        <v>83</v>
      </c>
      <c r="C13" s="12">
        <v>351</v>
      </c>
      <c r="D13" s="8">
        <v>15.66</v>
      </c>
      <c r="E13" s="12">
        <v>41</v>
      </c>
      <c r="F13" s="8">
        <v>4.76</v>
      </c>
      <c r="G13" s="12">
        <v>310</v>
      </c>
      <c r="H13" s="8">
        <v>22.61</v>
      </c>
      <c r="I13" s="12">
        <v>0</v>
      </c>
    </row>
    <row r="14" spans="2:9" ht="15" customHeight="1" x14ac:dyDescent="0.2">
      <c r="B14" t="s">
        <v>84</v>
      </c>
      <c r="C14" s="12">
        <v>52</v>
      </c>
      <c r="D14" s="8">
        <v>2.3199999999999998</v>
      </c>
      <c r="E14" s="12">
        <v>20</v>
      </c>
      <c r="F14" s="8">
        <v>2.3199999999999998</v>
      </c>
      <c r="G14" s="12">
        <v>32</v>
      </c>
      <c r="H14" s="8">
        <v>2.33</v>
      </c>
      <c r="I14" s="12">
        <v>0</v>
      </c>
    </row>
    <row r="15" spans="2:9" ht="15" customHeight="1" x14ac:dyDescent="0.2">
      <c r="B15" t="s">
        <v>85</v>
      </c>
      <c r="C15" s="12">
        <v>198</v>
      </c>
      <c r="D15" s="8">
        <v>8.84</v>
      </c>
      <c r="E15" s="12">
        <v>168</v>
      </c>
      <c r="F15" s="8">
        <v>19.489999999999998</v>
      </c>
      <c r="G15" s="12">
        <v>30</v>
      </c>
      <c r="H15" s="8">
        <v>2.19</v>
      </c>
      <c r="I15" s="12">
        <v>0</v>
      </c>
    </row>
    <row r="16" spans="2:9" ht="15" customHeight="1" x14ac:dyDescent="0.2">
      <c r="B16" t="s">
        <v>86</v>
      </c>
      <c r="C16" s="12">
        <v>174</v>
      </c>
      <c r="D16" s="8">
        <v>7.76</v>
      </c>
      <c r="E16" s="12">
        <v>141</v>
      </c>
      <c r="F16" s="8">
        <v>16.36</v>
      </c>
      <c r="G16" s="12">
        <v>33</v>
      </c>
      <c r="H16" s="8">
        <v>2.41</v>
      </c>
      <c r="I16" s="12">
        <v>0</v>
      </c>
    </row>
    <row r="17" spans="2:9" ht="15" customHeight="1" x14ac:dyDescent="0.2">
      <c r="B17" t="s">
        <v>87</v>
      </c>
      <c r="C17" s="12">
        <v>55</v>
      </c>
      <c r="D17" s="8">
        <v>2.4500000000000002</v>
      </c>
      <c r="E17" s="12">
        <v>35</v>
      </c>
      <c r="F17" s="8">
        <v>4.0599999999999996</v>
      </c>
      <c r="G17" s="12">
        <v>13</v>
      </c>
      <c r="H17" s="8">
        <v>0.95</v>
      </c>
      <c r="I17" s="12">
        <v>3</v>
      </c>
    </row>
    <row r="18" spans="2:9" ht="15" customHeight="1" x14ac:dyDescent="0.2">
      <c r="B18" t="s">
        <v>88</v>
      </c>
      <c r="C18" s="12">
        <v>85</v>
      </c>
      <c r="D18" s="8">
        <v>3.79</v>
      </c>
      <c r="E18" s="12">
        <v>54</v>
      </c>
      <c r="F18" s="8">
        <v>6.26</v>
      </c>
      <c r="G18" s="12">
        <v>31</v>
      </c>
      <c r="H18" s="8">
        <v>2.2599999999999998</v>
      </c>
      <c r="I18" s="12">
        <v>0</v>
      </c>
    </row>
    <row r="19" spans="2:9" ht="15" customHeight="1" x14ac:dyDescent="0.2">
      <c r="B19" t="s">
        <v>89</v>
      </c>
      <c r="C19" s="12">
        <v>106</v>
      </c>
      <c r="D19" s="8">
        <v>4.7300000000000004</v>
      </c>
      <c r="E19" s="12">
        <v>44</v>
      </c>
      <c r="F19" s="8">
        <v>5.0999999999999996</v>
      </c>
      <c r="G19" s="12">
        <v>61</v>
      </c>
      <c r="H19" s="8">
        <v>4.45</v>
      </c>
      <c r="I19" s="12">
        <v>1</v>
      </c>
    </row>
    <row r="20" spans="2:9" ht="15" customHeight="1" x14ac:dyDescent="0.2">
      <c r="B20" s="9" t="s">
        <v>271</v>
      </c>
      <c r="C20" s="12">
        <f>SUM(LTBL_27224[総数／事業所数])</f>
        <v>2241</v>
      </c>
      <c r="E20" s="12">
        <f>SUBTOTAL(109,LTBL_27224[個人／事業所数])</f>
        <v>862</v>
      </c>
      <c r="G20" s="12">
        <f>SUBTOTAL(109,LTBL_27224[法人／事業所数])</f>
        <v>1371</v>
      </c>
      <c r="I20" s="12">
        <f>SUBTOTAL(109,LTBL_27224[法人以外の団体／事業所数])</f>
        <v>4</v>
      </c>
    </row>
    <row r="21" spans="2:9" ht="15" customHeight="1" x14ac:dyDescent="0.2">
      <c r="E21" s="11">
        <f>LTBL_27224[[#Totals],[個人／事業所数]]/LTBL_27224[[#Totals],[総数／事業所数]]</f>
        <v>0.3846497099509148</v>
      </c>
      <c r="G21" s="11">
        <f>LTBL_27224[[#Totals],[法人／事業所数]]/LTBL_27224[[#Totals],[総数／事業所数]]</f>
        <v>0.61178045515394908</v>
      </c>
      <c r="I21" s="11">
        <f>LTBL_27224[[#Totals],[法人以外の団体／事業所数]]/LTBL_27224[[#Totals],[総数／事業所数]]</f>
        <v>1.7849174475680499E-3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110</v>
      </c>
      <c r="C24" s="12">
        <v>298</v>
      </c>
      <c r="D24" s="8">
        <v>13.3</v>
      </c>
      <c r="E24" s="12">
        <v>37</v>
      </c>
      <c r="F24" s="8">
        <v>4.29</v>
      </c>
      <c r="G24" s="12">
        <v>261</v>
      </c>
      <c r="H24" s="8">
        <v>19.04</v>
      </c>
      <c r="I24" s="12">
        <v>0</v>
      </c>
    </row>
    <row r="25" spans="2:9" ht="15" customHeight="1" x14ac:dyDescent="0.2">
      <c r="B25" t="s">
        <v>113</v>
      </c>
      <c r="C25" s="12">
        <v>179</v>
      </c>
      <c r="D25" s="8">
        <v>7.99</v>
      </c>
      <c r="E25" s="12">
        <v>163</v>
      </c>
      <c r="F25" s="8">
        <v>18.91</v>
      </c>
      <c r="G25" s="12">
        <v>16</v>
      </c>
      <c r="H25" s="8">
        <v>1.17</v>
      </c>
      <c r="I25" s="12">
        <v>0</v>
      </c>
    </row>
    <row r="26" spans="2:9" ht="15" customHeight="1" x14ac:dyDescent="0.2">
      <c r="B26" t="s">
        <v>114</v>
      </c>
      <c r="C26" s="12">
        <v>134</v>
      </c>
      <c r="D26" s="8">
        <v>5.98</v>
      </c>
      <c r="E26" s="12">
        <v>122</v>
      </c>
      <c r="F26" s="8">
        <v>14.15</v>
      </c>
      <c r="G26" s="12">
        <v>12</v>
      </c>
      <c r="H26" s="8">
        <v>0.88</v>
      </c>
      <c r="I26" s="12">
        <v>0</v>
      </c>
    </row>
    <row r="27" spans="2:9" ht="15" customHeight="1" x14ac:dyDescent="0.2">
      <c r="B27" t="s">
        <v>100</v>
      </c>
      <c r="C27" s="12">
        <v>124</v>
      </c>
      <c r="D27" s="8">
        <v>5.53</v>
      </c>
      <c r="E27" s="12">
        <v>26</v>
      </c>
      <c r="F27" s="8">
        <v>3.02</v>
      </c>
      <c r="G27" s="12">
        <v>98</v>
      </c>
      <c r="H27" s="8">
        <v>7.15</v>
      </c>
      <c r="I27" s="12">
        <v>0</v>
      </c>
    </row>
    <row r="28" spans="2:9" ht="15" customHeight="1" x14ac:dyDescent="0.2">
      <c r="B28" t="s">
        <v>99</v>
      </c>
      <c r="C28" s="12">
        <v>120</v>
      </c>
      <c r="D28" s="8">
        <v>5.35</v>
      </c>
      <c r="E28" s="12">
        <v>35</v>
      </c>
      <c r="F28" s="8">
        <v>4.0599999999999996</v>
      </c>
      <c r="G28" s="12">
        <v>85</v>
      </c>
      <c r="H28" s="8">
        <v>6.2</v>
      </c>
      <c r="I28" s="12">
        <v>0</v>
      </c>
    </row>
    <row r="29" spans="2:9" ht="15" customHeight="1" x14ac:dyDescent="0.2">
      <c r="B29" t="s">
        <v>98</v>
      </c>
      <c r="C29" s="12">
        <v>113</v>
      </c>
      <c r="D29" s="8">
        <v>5.04</v>
      </c>
      <c r="E29" s="12">
        <v>19</v>
      </c>
      <c r="F29" s="8">
        <v>2.2000000000000002</v>
      </c>
      <c r="G29" s="12">
        <v>94</v>
      </c>
      <c r="H29" s="8">
        <v>6.86</v>
      </c>
      <c r="I29" s="12">
        <v>0</v>
      </c>
    </row>
    <row r="30" spans="2:9" ht="15" customHeight="1" x14ac:dyDescent="0.2">
      <c r="B30" t="s">
        <v>101</v>
      </c>
      <c r="C30" s="12">
        <v>76</v>
      </c>
      <c r="D30" s="8">
        <v>3.39</v>
      </c>
      <c r="E30" s="12">
        <v>21</v>
      </c>
      <c r="F30" s="8">
        <v>2.44</v>
      </c>
      <c r="G30" s="12">
        <v>55</v>
      </c>
      <c r="H30" s="8">
        <v>4.01</v>
      </c>
      <c r="I30" s="12">
        <v>0</v>
      </c>
    </row>
    <row r="31" spans="2:9" ht="15" customHeight="1" x14ac:dyDescent="0.2">
      <c r="B31" t="s">
        <v>108</v>
      </c>
      <c r="C31" s="12">
        <v>73</v>
      </c>
      <c r="D31" s="8">
        <v>3.26</v>
      </c>
      <c r="E31" s="12">
        <v>45</v>
      </c>
      <c r="F31" s="8">
        <v>5.22</v>
      </c>
      <c r="G31" s="12">
        <v>28</v>
      </c>
      <c r="H31" s="8">
        <v>2.04</v>
      </c>
      <c r="I31" s="12">
        <v>0</v>
      </c>
    </row>
    <row r="32" spans="2:9" ht="15" customHeight="1" x14ac:dyDescent="0.2">
      <c r="B32" t="s">
        <v>107</v>
      </c>
      <c r="C32" s="12">
        <v>71</v>
      </c>
      <c r="D32" s="8">
        <v>3.17</v>
      </c>
      <c r="E32" s="12">
        <v>41</v>
      </c>
      <c r="F32" s="8">
        <v>4.76</v>
      </c>
      <c r="G32" s="12">
        <v>30</v>
      </c>
      <c r="H32" s="8">
        <v>2.19</v>
      </c>
      <c r="I32" s="12">
        <v>0</v>
      </c>
    </row>
    <row r="33" spans="2:9" ht="15" customHeight="1" x14ac:dyDescent="0.2">
      <c r="B33" t="s">
        <v>127</v>
      </c>
      <c r="C33" s="12">
        <v>68</v>
      </c>
      <c r="D33" s="8">
        <v>3.03</v>
      </c>
      <c r="E33" s="12">
        <v>21</v>
      </c>
      <c r="F33" s="8">
        <v>2.44</v>
      </c>
      <c r="G33" s="12">
        <v>47</v>
      </c>
      <c r="H33" s="8">
        <v>3.43</v>
      </c>
      <c r="I33" s="12">
        <v>0</v>
      </c>
    </row>
    <row r="34" spans="2:9" ht="15" customHeight="1" x14ac:dyDescent="0.2">
      <c r="B34" t="s">
        <v>129</v>
      </c>
      <c r="C34" s="12">
        <v>61</v>
      </c>
      <c r="D34" s="8">
        <v>2.72</v>
      </c>
      <c r="E34" s="12">
        <v>33</v>
      </c>
      <c r="F34" s="8">
        <v>3.83</v>
      </c>
      <c r="G34" s="12">
        <v>28</v>
      </c>
      <c r="H34" s="8">
        <v>2.04</v>
      </c>
      <c r="I34" s="12">
        <v>0</v>
      </c>
    </row>
    <row r="35" spans="2:9" ht="15" customHeight="1" x14ac:dyDescent="0.2">
      <c r="B35" t="s">
        <v>116</v>
      </c>
      <c r="C35" s="12">
        <v>60</v>
      </c>
      <c r="D35" s="8">
        <v>2.68</v>
      </c>
      <c r="E35" s="12">
        <v>53</v>
      </c>
      <c r="F35" s="8">
        <v>6.15</v>
      </c>
      <c r="G35" s="12">
        <v>7</v>
      </c>
      <c r="H35" s="8">
        <v>0.51</v>
      </c>
      <c r="I35" s="12">
        <v>0</v>
      </c>
    </row>
    <row r="36" spans="2:9" ht="15" customHeight="1" x14ac:dyDescent="0.2">
      <c r="B36" t="s">
        <v>115</v>
      </c>
      <c r="C36" s="12">
        <v>55</v>
      </c>
      <c r="D36" s="8">
        <v>2.4500000000000002</v>
      </c>
      <c r="E36" s="12">
        <v>35</v>
      </c>
      <c r="F36" s="8">
        <v>4.0599999999999996</v>
      </c>
      <c r="G36" s="12">
        <v>13</v>
      </c>
      <c r="H36" s="8">
        <v>0.95</v>
      </c>
      <c r="I36" s="12">
        <v>3</v>
      </c>
    </row>
    <row r="37" spans="2:9" ht="15" customHeight="1" x14ac:dyDescent="0.2">
      <c r="B37" t="s">
        <v>102</v>
      </c>
      <c r="C37" s="12">
        <v>49</v>
      </c>
      <c r="D37" s="8">
        <v>2.19</v>
      </c>
      <c r="E37" s="12">
        <v>18</v>
      </c>
      <c r="F37" s="8">
        <v>2.09</v>
      </c>
      <c r="G37" s="12">
        <v>31</v>
      </c>
      <c r="H37" s="8">
        <v>2.2599999999999998</v>
      </c>
      <c r="I37" s="12">
        <v>0</v>
      </c>
    </row>
    <row r="38" spans="2:9" ht="15" customHeight="1" x14ac:dyDescent="0.2">
      <c r="B38" t="s">
        <v>132</v>
      </c>
      <c r="C38" s="12">
        <v>43</v>
      </c>
      <c r="D38" s="8">
        <v>1.92</v>
      </c>
      <c r="E38" s="12">
        <v>13</v>
      </c>
      <c r="F38" s="8">
        <v>1.51</v>
      </c>
      <c r="G38" s="12">
        <v>30</v>
      </c>
      <c r="H38" s="8">
        <v>2.19</v>
      </c>
      <c r="I38" s="12">
        <v>0</v>
      </c>
    </row>
    <row r="39" spans="2:9" ht="15" customHeight="1" x14ac:dyDescent="0.2">
      <c r="B39" t="s">
        <v>103</v>
      </c>
      <c r="C39" s="12">
        <v>42</v>
      </c>
      <c r="D39" s="8">
        <v>1.87</v>
      </c>
      <c r="E39" s="12">
        <v>3</v>
      </c>
      <c r="F39" s="8">
        <v>0.35</v>
      </c>
      <c r="G39" s="12">
        <v>39</v>
      </c>
      <c r="H39" s="8">
        <v>2.84</v>
      </c>
      <c r="I39" s="12">
        <v>0</v>
      </c>
    </row>
    <row r="40" spans="2:9" ht="15" customHeight="1" x14ac:dyDescent="0.2">
      <c r="B40" t="s">
        <v>106</v>
      </c>
      <c r="C40" s="12">
        <v>41</v>
      </c>
      <c r="D40" s="8">
        <v>1.83</v>
      </c>
      <c r="E40" s="12">
        <v>31</v>
      </c>
      <c r="F40" s="8">
        <v>3.6</v>
      </c>
      <c r="G40" s="12">
        <v>10</v>
      </c>
      <c r="H40" s="8">
        <v>0.73</v>
      </c>
      <c r="I40" s="12">
        <v>0</v>
      </c>
    </row>
    <row r="41" spans="2:9" ht="15" customHeight="1" x14ac:dyDescent="0.2">
      <c r="B41" t="s">
        <v>109</v>
      </c>
      <c r="C41" s="12">
        <v>37</v>
      </c>
      <c r="D41" s="8">
        <v>1.65</v>
      </c>
      <c r="E41" s="12">
        <v>3</v>
      </c>
      <c r="F41" s="8">
        <v>0.35</v>
      </c>
      <c r="G41" s="12">
        <v>34</v>
      </c>
      <c r="H41" s="8">
        <v>2.48</v>
      </c>
      <c r="I41" s="12">
        <v>0</v>
      </c>
    </row>
    <row r="42" spans="2:9" ht="15" customHeight="1" x14ac:dyDescent="0.2">
      <c r="B42" t="s">
        <v>144</v>
      </c>
      <c r="C42" s="12">
        <v>36</v>
      </c>
      <c r="D42" s="8">
        <v>1.61</v>
      </c>
      <c r="E42" s="12">
        <v>6</v>
      </c>
      <c r="F42" s="8">
        <v>0.7</v>
      </c>
      <c r="G42" s="12">
        <v>30</v>
      </c>
      <c r="H42" s="8">
        <v>2.19</v>
      </c>
      <c r="I42" s="12">
        <v>0</v>
      </c>
    </row>
    <row r="43" spans="2:9" ht="15" customHeight="1" x14ac:dyDescent="0.2">
      <c r="B43" t="s">
        <v>111</v>
      </c>
      <c r="C43" s="12">
        <v>34</v>
      </c>
      <c r="D43" s="8">
        <v>1.52</v>
      </c>
      <c r="E43" s="12">
        <v>16</v>
      </c>
      <c r="F43" s="8">
        <v>1.86</v>
      </c>
      <c r="G43" s="12">
        <v>18</v>
      </c>
      <c r="H43" s="8">
        <v>1.31</v>
      </c>
      <c r="I43" s="12">
        <v>0</v>
      </c>
    </row>
    <row r="46" spans="2:9" ht="33" customHeight="1" x14ac:dyDescent="0.2">
      <c r="B46" t="s">
        <v>273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159</v>
      </c>
      <c r="C47" s="12">
        <v>145</v>
      </c>
      <c r="D47" s="8">
        <v>6.47</v>
      </c>
      <c r="E47" s="12">
        <v>3</v>
      </c>
      <c r="F47" s="8">
        <v>0.35</v>
      </c>
      <c r="G47" s="12">
        <v>142</v>
      </c>
      <c r="H47" s="8">
        <v>10.36</v>
      </c>
      <c r="I47" s="12">
        <v>0</v>
      </c>
    </row>
    <row r="48" spans="2:9" ht="15" customHeight="1" x14ac:dyDescent="0.2">
      <c r="B48" t="s">
        <v>160</v>
      </c>
      <c r="C48" s="12">
        <v>81</v>
      </c>
      <c r="D48" s="8">
        <v>3.61</v>
      </c>
      <c r="E48" s="12">
        <v>22</v>
      </c>
      <c r="F48" s="8">
        <v>2.5499999999999998</v>
      </c>
      <c r="G48" s="12">
        <v>59</v>
      </c>
      <c r="H48" s="8">
        <v>4.3</v>
      </c>
      <c r="I48" s="12">
        <v>0</v>
      </c>
    </row>
    <row r="49" spans="2:9" ht="15" customHeight="1" x14ac:dyDescent="0.2">
      <c r="B49" t="s">
        <v>169</v>
      </c>
      <c r="C49" s="12">
        <v>74</v>
      </c>
      <c r="D49" s="8">
        <v>3.3</v>
      </c>
      <c r="E49" s="12">
        <v>69</v>
      </c>
      <c r="F49" s="8">
        <v>8</v>
      </c>
      <c r="G49" s="12">
        <v>5</v>
      </c>
      <c r="H49" s="8">
        <v>0.36</v>
      </c>
      <c r="I49" s="12">
        <v>0</v>
      </c>
    </row>
    <row r="50" spans="2:9" ht="15" customHeight="1" x14ac:dyDescent="0.2">
      <c r="B50" t="s">
        <v>198</v>
      </c>
      <c r="C50" s="12">
        <v>61</v>
      </c>
      <c r="D50" s="8">
        <v>2.72</v>
      </c>
      <c r="E50" s="12">
        <v>33</v>
      </c>
      <c r="F50" s="8">
        <v>3.83</v>
      </c>
      <c r="G50" s="12">
        <v>28</v>
      </c>
      <c r="H50" s="8">
        <v>2.04</v>
      </c>
      <c r="I50" s="12">
        <v>0</v>
      </c>
    </row>
    <row r="51" spans="2:9" ht="15" customHeight="1" x14ac:dyDescent="0.2">
      <c r="B51" t="s">
        <v>215</v>
      </c>
      <c r="C51" s="12">
        <v>53</v>
      </c>
      <c r="D51" s="8">
        <v>2.37</v>
      </c>
      <c r="E51" s="12">
        <v>32</v>
      </c>
      <c r="F51" s="8">
        <v>3.71</v>
      </c>
      <c r="G51" s="12">
        <v>21</v>
      </c>
      <c r="H51" s="8">
        <v>1.53</v>
      </c>
      <c r="I51" s="12">
        <v>0</v>
      </c>
    </row>
    <row r="52" spans="2:9" ht="15" customHeight="1" x14ac:dyDescent="0.2">
      <c r="B52" t="s">
        <v>165</v>
      </c>
      <c r="C52" s="12">
        <v>50</v>
      </c>
      <c r="D52" s="8">
        <v>2.23</v>
      </c>
      <c r="E52" s="12">
        <v>49</v>
      </c>
      <c r="F52" s="8">
        <v>5.68</v>
      </c>
      <c r="G52" s="12">
        <v>1</v>
      </c>
      <c r="H52" s="8">
        <v>7.0000000000000007E-2</v>
      </c>
      <c r="I52" s="12">
        <v>0</v>
      </c>
    </row>
    <row r="53" spans="2:9" ht="15" customHeight="1" x14ac:dyDescent="0.2">
      <c r="B53" t="s">
        <v>153</v>
      </c>
      <c r="C53" s="12">
        <v>49</v>
      </c>
      <c r="D53" s="8">
        <v>2.19</v>
      </c>
      <c r="E53" s="12">
        <v>10</v>
      </c>
      <c r="F53" s="8">
        <v>1.1599999999999999</v>
      </c>
      <c r="G53" s="12">
        <v>39</v>
      </c>
      <c r="H53" s="8">
        <v>2.84</v>
      </c>
      <c r="I53" s="12">
        <v>0</v>
      </c>
    </row>
    <row r="54" spans="2:9" ht="15" customHeight="1" x14ac:dyDescent="0.2">
      <c r="B54" t="s">
        <v>174</v>
      </c>
      <c r="C54" s="12">
        <v>49</v>
      </c>
      <c r="D54" s="8">
        <v>2.19</v>
      </c>
      <c r="E54" s="12">
        <v>13</v>
      </c>
      <c r="F54" s="8">
        <v>1.51</v>
      </c>
      <c r="G54" s="12">
        <v>36</v>
      </c>
      <c r="H54" s="8">
        <v>2.63</v>
      </c>
      <c r="I54" s="12">
        <v>0</v>
      </c>
    </row>
    <row r="55" spans="2:9" ht="15" customHeight="1" x14ac:dyDescent="0.2">
      <c r="B55" t="s">
        <v>171</v>
      </c>
      <c r="C55" s="12">
        <v>44</v>
      </c>
      <c r="D55" s="8">
        <v>1.96</v>
      </c>
      <c r="E55" s="12">
        <v>40</v>
      </c>
      <c r="F55" s="8">
        <v>4.6399999999999997</v>
      </c>
      <c r="G55" s="12">
        <v>4</v>
      </c>
      <c r="H55" s="8">
        <v>0.28999999999999998</v>
      </c>
      <c r="I55" s="12">
        <v>0</v>
      </c>
    </row>
    <row r="56" spans="2:9" ht="15" customHeight="1" x14ac:dyDescent="0.2">
      <c r="B56" t="s">
        <v>162</v>
      </c>
      <c r="C56" s="12">
        <v>40</v>
      </c>
      <c r="D56" s="8">
        <v>1.78</v>
      </c>
      <c r="E56" s="12">
        <v>0</v>
      </c>
      <c r="F56" s="8">
        <v>0</v>
      </c>
      <c r="G56" s="12">
        <v>40</v>
      </c>
      <c r="H56" s="8">
        <v>2.92</v>
      </c>
      <c r="I56" s="12">
        <v>0</v>
      </c>
    </row>
    <row r="57" spans="2:9" ht="15" customHeight="1" x14ac:dyDescent="0.2">
      <c r="B57" t="s">
        <v>168</v>
      </c>
      <c r="C57" s="12">
        <v>40</v>
      </c>
      <c r="D57" s="8">
        <v>1.78</v>
      </c>
      <c r="E57" s="12">
        <v>39</v>
      </c>
      <c r="F57" s="8">
        <v>4.5199999999999996</v>
      </c>
      <c r="G57" s="12">
        <v>1</v>
      </c>
      <c r="H57" s="8">
        <v>7.0000000000000007E-2</v>
      </c>
      <c r="I57" s="12">
        <v>0</v>
      </c>
    </row>
    <row r="58" spans="2:9" ht="15" customHeight="1" x14ac:dyDescent="0.2">
      <c r="B58" t="s">
        <v>190</v>
      </c>
      <c r="C58" s="12">
        <v>37</v>
      </c>
      <c r="D58" s="8">
        <v>1.65</v>
      </c>
      <c r="E58" s="12">
        <v>4</v>
      </c>
      <c r="F58" s="8">
        <v>0.46</v>
      </c>
      <c r="G58" s="12">
        <v>33</v>
      </c>
      <c r="H58" s="8">
        <v>2.41</v>
      </c>
      <c r="I58" s="12">
        <v>0</v>
      </c>
    </row>
    <row r="59" spans="2:9" ht="15" customHeight="1" x14ac:dyDescent="0.2">
      <c r="B59" t="s">
        <v>192</v>
      </c>
      <c r="C59" s="12">
        <v>35</v>
      </c>
      <c r="D59" s="8">
        <v>1.56</v>
      </c>
      <c r="E59" s="12">
        <v>8</v>
      </c>
      <c r="F59" s="8">
        <v>0.93</v>
      </c>
      <c r="G59" s="12">
        <v>27</v>
      </c>
      <c r="H59" s="8">
        <v>1.97</v>
      </c>
      <c r="I59" s="12">
        <v>0</v>
      </c>
    </row>
    <row r="60" spans="2:9" ht="15" customHeight="1" x14ac:dyDescent="0.2">
      <c r="B60" t="s">
        <v>152</v>
      </c>
      <c r="C60" s="12">
        <v>34</v>
      </c>
      <c r="D60" s="8">
        <v>1.52</v>
      </c>
      <c r="E60" s="12">
        <v>4</v>
      </c>
      <c r="F60" s="8">
        <v>0.46</v>
      </c>
      <c r="G60" s="12">
        <v>30</v>
      </c>
      <c r="H60" s="8">
        <v>2.19</v>
      </c>
      <c r="I60" s="12">
        <v>0</v>
      </c>
    </row>
    <row r="61" spans="2:9" ht="15" customHeight="1" x14ac:dyDescent="0.2">
      <c r="B61" t="s">
        <v>164</v>
      </c>
      <c r="C61" s="12">
        <v>34</v>
      </c>
      <c r="D61" s="8">
        <v>1.52</v>
      </c>
      <c r="E61" s="12">
        <v>31</v>
      </c>
      <c r="F61" s="8">
        <v>3.6</v>
      </c>
      <c r="G61" s="12">
        <v>3</v>
      </c>
      <c r="H61" s="8">
        <v>0.22</v>
      </c>
      <c r="I61" s="12">
        <v>0</v>
      </c>
    </row>
    <row r="62" spans="2:9" ht="15" customHeight="1" x14ac:dyDescent="0.2">
      <c r="B62" t="s">
        <v>161</v>
      </c>
      <c r="C62" s="12">
        <v>32</v>
      </c>
      <c r="D62" s="8">
        <v>1.43</v>
      </c>
      <c r="E62" s="12">
        <v>12</v>
      </c>
      <c r="F62" s="8">
        <v>1.39</v>
      </c>
      <c r="G62" s="12">
        <v>20</v>
      </c>
      <c r="H62" s="8">
        <v>1.46</v>
      </c>
      <c r="I62" s="12">
        <v>0</v>
      </c>
    </row>
    <row r="63" spans="2:9" ht="15" customHeight="1" x14ac:dyDescent="0.2">
      <c r="B63" t="s">
        <v>167</v>
      </c>
      <c r="C63" s="12">
        <v>32</v>
      </c>
      <c r="D63" s="8">
        <v>1.43</v>
      </c>
      <c r="E63" s="12">
        <v>32</v>
      </c>
      <c r="F63" s="8">
        <v>3.71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217</v>
      </c>
      <c r="C64" s="12">
        <v>31</v>
      </c>
      <c r="D64" s="8">
        <v>1.38</v>
      </c>
      <c r="E64" s="12">
        <v>13</v>
      </c>
      <c r="F64" s="8">
        <v>1.51</v>
      </c>
      <c r="G64" s="12">
        <v>18</v>
      </c>
      <c r="H64" s="8">
        <v>1.31</v>
      </c>
      <c r="I64" s="12">
        <v>0</v>
      </c>
    </row>
    <row r="65" spans="2:9" ht="15" customHeight="1" x14ac:dyDescent="0.2">
      <c r="B65" t="s">
        <v>191</v>
      </c>
      <c r="C65" s="12">
        <v>29</v>
      </c>
      <c r="D65" s="8">
        <v>1.29</v>
      </c>
      <c r="E65" s="12">
        <v>7</v>
      </c>
      <c r="F65" s="8">
        <v>0.81</v>
      </c>
      <c r="G65" s="12">
        <v>22</v>
      </c>
      <c r="H65" s="8">
        <v>1.6</v>
      </c>
      <c r="I65" s="12">
        <v>0</v>
      </c>
    </row>
    <row r="66" spans="2:9" ht="15" customHeight="1" x14ac:dyDescent="0.2">
      <c r="B66" t="s">
        <v>158</v>
      </c>
      <c r="C66" s="12">
        <v>29</v>
      </c>
      <c r="D66" s="8">
        <v>1.29</v>
      </c>
      <c r="E66" s="12">
        <v>3</v>
      </c>
      <c r="F66" s="8">
        <v>0.35</v>
      </c>
      <c r="G66" s="12">
        <v>26</v>
      </c>
      <c r="H66" s="8">
        <v>1.9</v>
      </c>
      <c r="I66" s="12">
        <v>0</v>
      </c>
    </row>
    <row r="68" spans="2:9" ht="15" customHeight="1" x14ac:dyDescent="0.2">
      <c r="B68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CA305-2364-475B-BA51-1BEF162992DA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331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140</v>
      </c>
      <c r="D6" s="8">
        <v>12.47</v>
      </c>
      <c r="E6" s="12">
        <v>23</v>
      </c>
      <c r="F6" s="8">
        <v>3.89</v>
      </c>
      <c r="G6" s="12">
        <v>117</v>
      </c>
      <c r="H6" s="8">
        <v>22.16</v>
      </c>
      <c r="I6" s="12">
        <v>0</v>
      </c>
    </row>
    <row r="7" spans="2:9" ht="15" customHeight="1" x14ac:dyDescent="0.2">
      <c r="B7" t="s">
        <v>77</v>
      </c>
      <c r="C7" s="12">
        <v>77</v>
      </c>
      <c r="D7" s="8">
        <v>6.86</v>
      </c>
      <c r="E7" s="12">
        <v>23</v>
      </c>
      <c r="F7" s="8">
        <v>3.89</v>
      </c>
      <c r="G7" s="12">
        <v>54</v>
      </c>
      <c r="H7" s="8">
        <v>10.23</v>
      </c>
      <c r="I7" s="12">
        <v>0</v>
      </c>
    </row>
    <row r="8" spans="2:9" ht="15" customHeight="1" x14ac:dyDescent="0.2">
      <c r="B8" t="s">
        <v>78</v>
      </c>
      <c r="C8" s="12">
        <v>1</v>
      </c>
      <c r="D8" s="8">
        <v>0.09</v>
      </c>
      <c r="E8" s="12">
        <v>0</v>
      </c>
      <c r="F8" s="8">
        <v>0</v>
      </c>
      <c r="G8" s="12">
        <v>1</v>
      </c>
      <c r="H8" s="8">
        <v>0.19</v>
      </c>
      <c r="I8" s="12">
        <v>0</v>
      </c>
    </row>
    <row r="9" spans="2:9" ht="15" customHeight="1" x14ac:dyDescent="0.2">
      <c r="B9" t="s">
        <v>79</v>
      </c>
      <c r="C9" s="12">
        <v>11</v>
      </c>
      <c r="D9" s="8">
        <v>0.98</v>
      </c>
      <c r="E9" s="12">
        <v>0</v>
      </c>
      <c r="F9" s="8">
        <v>0</v>
      </c>
      <c r="G9" s="12">
        <v>11</v>
      </c>
      <c r="H9" s="8">
        <v>2.08</v>
      </c>
      <c r="I9" s="12">
        <v>0</v>
      </c>
    </row>
    <row r="10" spans="2:9" ht="15" customHeight="1" x14ac:dyDescent="0.2">
      <c r="B10" t="s">
        <v>80</v>
      </c>
      <c r="C10" s="12">
        <v>15</v>
      </c>
      <c r="D10" s="8">
        <v>1.34</v>
      </c>
      <c r="E10" s="12">
        <v>1</v>
      </c>
      <c r="F10" s="8">
        <v>0.17</v>
      </c>
      <c r="G10" s="12">
        <v>14</v>
      </c>
      <c r="H10" s="8">
        <v>2.65</v>
      </c>
      <c r="I10" s="12">
        <v>0</v>
      </c>
    </row>
    <row r="11" spans="2:9" ht="15" customHeight="1" x14ac:dyDescent="0.2">
      <c r="B11" t="s">
        <v>81</v>
      </c>
      <c r="C11" s="12">
        <v>239</v>
      </c>
      <c r="D11" s="8">
        <v>21.28</v>
      </c>
      <c r="E11" s="12">
        <v>137</v>
      </c>
      <c r="F11" s="8">
        <v>23.18</v>
      </c>
      <c r="G11" s="12">
        <v>102</v>
      </c>
      <c r="H11" s="8">
        <v>19.32</v>
      </c>
      <c r="I11" s="12">
        <v>0</v>
      </c>
    </row>
    <row r="12" spans="2:9" ht="15" customHeight="1" x14ac:dyDescent="0.2">
      <c r="B12" t="s">
        <v>82</v>
      </c>
      <c r="C12" s="12">
        <v>4</v>
      </c>
      <c r="D12" s="8">
        <v>0.36</v>
      </c>
      <c r="E12" s="12">
        <v>1</v>
      </c>
      <c r="F12" s="8">
        <v>0.17</v>
      </c>
      <c r="G12" s="12">
        <v>3</v>
      </c>
      <c r="H12" s="8">
        <v>0.56999999999999995</v>
      </c>
      <c r="I12" s="12">
        <v>0</v>
      </c>
    </row>
    <row r="13" spans="2:9" ht="15" customHeight="1" x14ac:dyDescent="0.2">
      <c r="B13" t="s">
        <v>83</v>
      </c>
      <c r="C13" s="12">
        <v>133</v>
      </c>
      <c r="D13" s="8">
        <v>11.84</v>
      </c>
      <c r="E13" s="12">
        <v>43</v>
      </c>
      <c r="F13" s="8">
        <v>7.28</v>
      </c>
      <c r="G13" s="12">
        <v>90</v>
      </c>
      <c r="H13" s="8">
        <v>17.05</v>
      </c>
      <c r="I13" s="12">
        <v>0</v>
      </c>
    </row>
    <row r="14" spans="2:9" ht="15" customHeight="1" x14ac:dyDescent="0.2">
      <c r="B14" t="s">
        <v>84</v>
      </c>
      <c r="C14" s="12">
        <v>47</v>
      </c>
      <c r="D14" s="8">
        <v>4.1900000000000004</v>
      </c>
      <c r="E14" s="12">
        <v>19</v>
      </c>
      <c r="F14" s="8">
        <v>3.21</v>
      </c>
      <c r="G14" s="12">
        <v>28</v>
      </c>
      <c r="H14" s="8">
        <v>5.3</v>
      </c>
      <c r="I14" s="12">
        <v>0</v>
      </c>
    </row>
    <row r="15" spans="2:9" ht="15" customHeight="1" x14ac:dyDescent="0.2">
      <c r="B15" t="s">
        <v>85</v>
      </c>
      <c r="C15" s="12">
        <v>133</v>
      </c>
      <c r="D15" s="8">
        <v>11.84</v>
      </c>
      <c r="E15" s="12">
        <v>111</v>
      </c>
      <c r="F15" s="8">
        <v>18.78</v>
      </c>
      <c r="G15" s="12">
        <v>22</v>
      </c>
      <c r="H15" s="8">
        <v>4.17</v>
      </c>
      <c r="I15" s="12">
        <v>0</v>
      </c>
    </row>
    <row r="16" spans="2:9" ht="15" customHeight="1" x14ac:dyDescent="0.2">
      <c r="B16" t="s">
        <v>86</v>
      </c>
      <c r="C16" s="12">
        <v>153</v>
      </c>
      <c r="D16" s="8">
        <v>13.62</v>
      </c>
      <c r="E16" s="12">
        <v>121</v>
      </c>
      <c r="F16" s="8">
        <v>20.47</v>
      </c>
      <c r="G16" s="12">
        <v>31</v>
      </c>
      <c r="H16" s="8">
        <v>5.87</v>
      </c>
      <c r="I16" s="12">
        <v>0</v>
      </c>
    </row>
    <row r="17" spans="2:9" ht="15" customHeight="1" x14ac:dyDescent="0.2">
      <c r="B17" t="s">
        <v>87</v>
      </c>
      <c r="C17" s="12">
        <v>61</v>
      </c>
      <c r="D17" s="8">
        <v>5.43</v>
      </c>
      <c r="E17" s="12">
        <v>49</v>
      </c>
      <c r="F17" s="8">
        <v>8.2899999999999991</v>
      </c>
      <c r="G17" s="12">
        <v>11</v>
      </c>
      <c r="H17" s="8">
        <v>2.08</v>
      </c>
      <c r="I17" s="12">
        <v>0</v>
      </c>
    </row>
    <row r="18" spans="2:9" ht="15" customHeight="1" x14ac:dyDescent="0.2">
      <c r="B18" t="s">
        <v>88</v>
      </c>
      <c r="C18" s="12">
        <v>65</v>
      </c>
      <c r="D18" s="8">
        <v>5.79</v>
      </c>
      <c r="E18" s="12">
        <v>45</v>
      </c>
      <c r="F18" s="8">
        <v>7.61</v>
      </c>
      <c r="G18" s="12">
        <v>19</v>
      </c>
      <c r="H18" s="8">
        <v>3.6</v>
      </c>
      <c r="I18" s="12">
        <v>0</v>
      </c>
    </row>
    <row r="19" spans="2:9" ht="15" customHeight="1" x14ac:dyDescent="0.2">
      <c r="B19" t="s">
        <v>89</v>
      </c>
      <c r="C19" s="12">
        <v>44</v>
      </c>
      <c r="D19" s="8">
        <v>3.92</v>
      </c>
      <c r="E19" s="12">
        <v>18</v>
      </c>
      <c r="F19" s="8">
        <v>3.05</v>
      </c>
      <c r="G19" s="12">
        <v>25</v>
      </c>
      <c r="H19" s="8">
        <v>4.7300000000000004</v>
      </c>
      <c r="I19" s="12">
        <v>0</v>
      </c>
    </row>
    <row r="20" spans="2:9" ht="15" customHeight="1" x14ac:dyDescent="0.2">
      <c r="B20" s="9" t="s">
        <v>271</v>
      </c>
      <c r="C20" s="12">
        <f>SUM(LTBL_27225[総数／事業所数])</f>
        <v>1123</v>
      </c>
      <c r="E20" s="12">
        <f>SUBTOTAL(109,LTBL_27225[個人／事業所数])</f>
        <v>591</v>
      </c>
      <c r="G20" s="12">
        <f>SUBTOTAL(109,LTBL_27225[法人／事業所数])</f>
        <v>528</v>
      </c>
      <c r="I20" s="12">
        <f>SUBTOTAL(109,LTBL_27225[法人以外の団体／事業所数])</f>
        <v>0</v>
      </c>
    </row>
    <row r="21" spans="2:9" ht="15" customHeight="1" x14ac:dyDescent="0.2">
      <c r="E21" s="11">
        <f>LTBL_27225[[#Totals],[個人／事業所数]]/LTBL_27225[[#Totals],[総数／事業所数]]</f>
        <v>0.52626892252894031</v>
      </c>
      <c r="G21" s="11">
        <f>LTBL_27225[[#Totals],[法人／事業所数]]/LTBL_27225[[#Totals],[総数／事業所数]]</f>
        <v>0.4701691896705254</v>
      </c>
      <c r="I21" s="11">
        <f>LTBL_27225[[#Totals],[法人以外の団体／事業所数]]/LTBL_27225[[#Totals],[総数／事業所数]]</f>
        <v>0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114</v>
      </c>
      <c r="C24" s="12">
        <v>123</v>
      </c>
      <c r="D24" s="8">
        <v>10.95</v>
      </c>
      <c r="E24" s="12">
        <v>104</v>
      </c>
      <c r="F24" s="8">
        <v>17.600000000000001</v>
      </c>
      <c r="G24" s="12">
        <v>19</v>
      </c>
      <c r="H24" s="8">
        <v>3.6</v>
      </c>
      <c r="I24" s="12">
        <v>0</v>
      </c>
    </row>
    <row r="25" spans="2:9" ht="15" customHeight="1" x14ac:dyDescent="0.2">
      <c r="B25" t="s">
        <v>113</v>
      </c>
      <c r="C25" s="12">
        <v>118</v>
      </c>
      <c r="D25" s="8">
        <v>10.51</v>
      </c>
      <c r="E25" s="12">
        <v>106</v>
      </c>
      <c r="F25" s="8">
        <v>17.940000000000001</v>
      </c>
      <c r="G25" s="12">
        <v>12</v>
      </c>
      <c r="H25" s="8">
        <v>2.27</v>
      </c>
      <c r="I25" s="12">
        <v>0</v>
      </c>
    </row>
    <row r="26" spans="2:9" ht="15" customHeight="1" x14ac:dyDescent="0.2">
      <c r="B26" t="s">
        <v>110</v>
      </c>
      <c r="C26" s="12">
        <v>107</v>
      </c>
      <c r="D26" s="8">
        <v>9.5299999999999994</v>
      </c>
      <c r="E26" s="12">
        <v>39</v>
      </c>
      <c r="F26" s="8">
        <v>6.6</v>
      </c>
      <c r="G26" s="12">
        <v>68</v>
      </c>
      <c r="H26" s="8">
        <v>12.88</v>
      </c>
      <c r="I26" s="12">
        <v>0</v>
      </c>
    </row>
    <row r="27" spans="2:9" ht="15" customHeight="1" x14ac:dyDescent="0.2">
      <c r="B27" t="s">
        <v>115</v>
      </c>
      <c r="C27" s="12">
        <v>61</v>
      </c>
      <c r="D27" s="8">
        <v>5.43</v>
      </c>
      <c r="E27" s="12">
        <v>49</v>
      </c>
      <c r="F27" s="8">
        <v>8.2899999999999991</v>
      </c>
      <c r="G27" s="12">
        <v>11</v>
      </c>
      <c r="H27" s="8">
        <v>2.08</v>
      </c>
      <c r="I27" s="12">
        <v>0</v>
      </c>
    </row>
    <row r="28" spans="2:9" ht="15" customHeight="1" x14ac:dyDescent="0.2">
      <c r="B28" t="s">
        <v>98</v>
      </c>
      <c r="C28" s="12">
        <v>59</v>
      </c>
      <c r="D28" s="8">
        <v>5.25</v>
      </c>
      <c r="E28" s="12">
        <v>10</v>
      </c>
      <c r="F28" s="8">
        <v>1.69</v>
      </c>
      <c r="G28" s="12">
        <v>49</v>
      </c>
      <c r="H28" s="8">
        <v>9.2799999999999994</v>
      </c>
      <c r="I28" s="12">
        <v>0</v>
      </c>
    </row>
    <row r="29" spans="2:9" ht="15" customHeight="1" x14ac:dyDescent="0.2">
      <c r="B29" t="s">
        <v>100</v>
      </c>
      <c r="C29" s="12">
        <v>55</v>
      </c>
      <c r="D29" s="8">
        <v>4.9000000000000004</v>
      </c>
      <c r="E29" s="12">
        <v>4</v>
      </c>
      <c r="F29" s="8">
        <v>0.68</v>
      </c>
      <c r="G29" s="12">
        <v>51</v>
      </c>
      <c r="H29" s="8">
        <v>9.66</v>
      </c>
      <c r="I29" s="12">
        <v>0</v>
      </c>
    </row>
    <row r="30" spans="2:9" ht="15" customHeight="1" x14ac:dyDescent="0.2">
      <c r="B30" t="s">
        <v>108</v>
      </c>
      <c r="C30" s="12">
        <v>55</v>
      </c>
      <c r="D30" s="8">
        <v>4.9000000000000004</v>
      </c>
      <c r="E30" s="12">
        <v>33</v>
      </c>
      <c r="F30" s="8">
        <v>5.58</v>
      </c>
      <c r="G30" s="12">
        <v>22</v>
      </c>
      <c r="H30" s="8">
        <v>4.17</v>
      </c>
      <c r="I30" s="12">
        <v>0</v>
      </c>
    </row>
    <row r="31" spans="2:9" ht="15" customHeight="1" x14ac:dyDescent="0.2">
      <c r="B31" t="s">
        <v>116</v>
      </c>
      <c r="C31" s="12">
        <v>54</v>
      </c>
      <c r="D31" s="8">
        <v>4.8099999999999996</v>
      </c>
      <c r="E31" s="12">
        <v>45</v>
      </c>
      <c r="F31" s="8">
        <v>7.61</v>
      </c>
      <c r="G31" s="12">
        <v>9</v>
      </c>
      <c r="H31" s="8">
        <v>1.7</v>
      </c>
      <c r="I31" s="12">
        <v>0</v>
      </c>
    </row>
    <row r="32" spans="2:9" ht="15" customHeight="1" x14ac:dyDescent="0.2">
      <c r="B32" t="s">
        <v>106</v>
      </c>
      <c r="C32" s="12">
        <v>52</v>
      </c>
      <c r="D32" s="8">
        <v>4.63</v>
      </c>
      <c r="E32" s="12">
        <v>46</v>
      </c>
      <c r="F32" s="8">
        <v>7.78</v>
      </c>
      <c r="G32" s="12">
        <v>6</v>
      </c>
      <c r="H32" s="8">
        <v>1.1399999999999999</v>
      </c>
      <c r="I32" s="12">
        <v>0</v>
      </c>
    </row>
    <row r="33" spans="2:9" ht="15" customHeight="1" x14ac:dyDescent="0.2">
      <c r="B33" t="s">
        <v>107</v>
      </c>
      <c r="C33" s="12">
        <v>37</v>
      </c>
      <c r="D33" s="8">
        <v>3.29</v>
      </c>
      <c r="E33" s="12">
        <v>26</v>
      </c>
      <c r="F33" s="8">
        <v>4.4000000000000004</v>
      </c>
      <c r="G33" s="12">
        <v>11</v>
      </c>
      <c r="H33" s="8">
        <v>2.08</v>
      </c>
      <c r="I33" s="12">
        <v>0</v>
      </c>
    </row>
    <row r="34" spans="2:9" ht="15" customHeight="1" x14ac:dyDescent="0.2">
      <c r="B34" t="s">
        <v>111</v>
      </c>
      <c r="C34" s="12">
        <v>27</v>
      </c>
      <c r="D34" s="8">
        <v>2.4</v>
      </c>
      <c r="E34" s="12">
        <v>14</v>
      </c>
      <c r="F34" s="8">
        <v>2.37</v>
      </c>
      <c r="G34" s="12">
        <v>13</v>
      </c>
      <c r="H34" s="8">
        <v>2.46</v>
      </c>
      <c r="I34" s="12">
        <v>0</v>
      </c>
    </row>
    <row r="35" spans="2:9" ht="15" customHeight="1" x14ac:dyDescent="0.2">
      <c r="B35" t="s">
        <v>99</v>
      </c>
      <c r="C35" s="12">
        <v>26</v>
      </c>
      <c r="D35" s="8">
        <v>2.3199999999999998</v>
      </c>
      <c r="E35" s="12">
        <v>9</v>
      </c>
      <c r="F35" s="8">
        <v>1.52</v>
      </c>
      <c r="G35" s="12">
        <v>17</v>
      </c>
      <c r="H35" s="8">
        <v>3.22</v>
      </c>
      <c r="I35" s="12">
        <v>0</v>
      </c>
    </row>
    <row r="36" spans="2:9" ht="15" customHeight="1" x14ac:dyDescent="0.2">
      <c r="B36" t="s">
        <v>105</v>
      </c>
      <c r="C36" s="12">
        <v>22</v>
      </c>
      <c r="D36" s="8">
        <v>1.96</v>
      </c>
      <c r="E36" s="12">
        <v>17</v>
      </c>
      <c r="F36" s="8">
        <v>2.88</v>
      </c>
      <c r="G36" s="12">
        <v>5</v>
      </c>
      <c r="H36" s="8">
        <v>0.95</v>
      </c>
      <c r="I36" s="12">
        <v>0</v>
      </c>
    </row>
    <row r="37" spans="2:9" ht="15" customHeight="1" x14ac:dyDescent="0.2">
      <c r="B37" t="s">
        <v>109</v>
      </c>
      <c r="C37" s="12">
        <v>21</v>
      </c>
      <c r="D37" s="8">
        <v>1.87</v>
      </c>
      <c r="E37" s="12">
        <v>4</v>
      </c>
      <c r="F37" s="8">
        <v>0.68</v>
      </c>
      <c r="G37" s="12">
        <v>17</v>
      </c>
      <c r="H37" s="8">
        <v>3.22</v>
      </c>
      <c r="I37" s="12">
        <v>0</v>
      </c>
    </row>
    <row r="38" spans="2:9" ht="15" customHeight="1" x14ac:dyDescent="0.2">
      <c r="B38" t="s">
        <v>130</v>
      </c>
      <c r="C38" s="12">
        <v>21</v>
      </c>
      <c r="D38" s="8">
        <v>1.87</v>
      </c>
      <c r="E38" s="12">
        <v>13</v>
      </c>
      <c r="F38" s="8">
        <v>2.2000000000000002</v>
      </c>
      <c r="G38" s="12">
        <v>7</v>
      </c>
      <c r="H38" s="8">
        <v>1.33</v>
      </c>
      <c r="I38" s="12">
        <v>0</v>
      </c>
    </row>
    <row r="39" spans="2:9" ht="15" customHeight="1" x14ac:dyDescent="0.2">
      <c r="B39" t="s">
        <v>129</v>
      </c>
      <c r="C39" s="12">
        <v>20</v>
      </c>
      <c r="D39" s="8">
        <v>1.78</v>
      </c>
      <c r="E39" s="12">
        <v>14</v>
      </c>
      <c r="F39" s="8">
        <v>2.37</v>
      </c>
      <c r="G39" s="12">
        <v>6</v>
      </c>
      <c r="H39" s="8">
        <v>1.1399999999999999</v>
      </c>
      <c r="I39" s="12">
        <v>0</v>
      </c>
    </row>
    <row r="40" spans="2:9" ht="15" customHeight="1" x14ac:dyDescent="0.2">
      <c r="B40" t="s">
        <v>112</v>
      </c>
      <c r="C40" s="12">
        <v>18</v>
      </c>
      <c r="D40" s="8">
        <v>1.6</v>
      </c>
      <c r="E40" s="12">
        <v>5</v>
      </c>
      <c r="F40" s="8">
        <v>0.85</v>
      </c>
      <c r="G40" s="12">
        <v>13</v>
      </c>
      <c r="H40" s="8">
        <v>2.46</v>
      </c>
      <c r="I40" s="12">
        <v>0</v>
      </c>
    </row>
    <row r="41" spans="2:9" ht="15" customHeight="1" x14ac:dyDescent="0.2">
      <c r="B41" t="s">
        <v>104</v>
      </c>
      <c r="C41" s="12">
        <v>17</v>
      </c>
      <c r="D41" s="8">
        <v>1.51</v>
      </c>
      <c r="E41" s="12">
        <v>3</v>
      </c>
      <c r="F41" s="8">
        <v>0.51</v>
      </c>
      <c r="G41" s="12">
        <v>14</v>
      </c>
      <c r="H41" s="8">
        <v>2.65</v>
      </c>
      <c r="I41" s="12">
        <v>0</v>
      </c>
    </row>
    <row r="42" spans="2:9" ht="15" customHeight="1" x14ac:dyDescent="0.2">
      <c r="B42" t="s">
        <v>102</v>
      </c>
      <c r="C42" s="12">
        <v>16</v>
      </c>
      <c r="D42" s="8">
        <v>1.42</v>
      </c>
      <c r="E42" s="12">
        <v>2</v>
      </c>
      <c r="F42" s="8">
        <v>0.34</v>
      </c>
      <c r="G42" s="12">
        <v>14</v>
      </c>
      <c r="H42" s="8">
        <v>2.65</v>
      </c>
      <c r="I42" s="12">
        <v>0</v>
      </c>
    </row>
    <row r="43" spans="2:9" ht="15" customHeight="1" x14ac:dyDescent="0.2">
      <c r="B43" t="s">
        <v>103</v>
      </c>
      <c r="C43" s="12">
        <v>14</v>
      </c>
      <c r="D43" s="8">
        <v>1.25</v>
      </c>
      <c r="E43" s="12">
        <v>4</v>
      </c>
      <c r="F43" s="8">
        <v>0.68</v>
      </c>
      <c r="G43" s="12">
        <v>10</v>
      </c>
      <c r="H43" s="8">
        <v>1.89</v>
      </c>
      <c r="I43" s="12">
        <v>0</v>
      </c>
    </row>
    <row r="44" spans="2:9" ht="15" customHeight="1" x14ac:dyDescent="0.2">
      <c r="B44" t="s">
        <v>124</v>
      </c>
      <c r="C44" s="12">
        <v>14</v>
      </c>
      <c r="D44" s="8">
        <v>1.25</v>
      </c>
      <c r="E44" s="12">
        <v>5</v>
      </c>
      <c r="F44" s="8">
        <v>0.85</v>
      </c>
      <c r="G44" s="12">
        <v>9</v>
      </c>
      <c r="H44" s="8">
        <v>1.7</v>
      </c>
      <c r="I44" s="12">
        <v>0</v>
      </c>
    </row>
    <row r="47" spans="2:9" ht="33" customHeight="1" x14ac:dyDescent="0.2">
      <c r="B47" t="s">
        <v>273</v>
      </c>
      <c r="C47" s="10" t="s">
        <v>91</v>
      </c>
      <c r="D47" s="10" t="s">
        <v>92</v>
      </c>
      <c r="E47" s="10" t="s">
        <v>93</v>
      </c>
      <c r="F47" s="10" t="s">
        <v>94</v>
      </c>
      <c r="G47" s="10" t="s">
        <v>95</v>
      </c>
      <c r="H47" s="10" t="s">
        <v>96</v>
      </c>
      <c r="I47" s="10" t="s">
        <v>97</v>
      </c>
    </row>
    <row r="48" spans="2:9" ht="15" customHeight="1" x14ac:dyDescent="0.2">
      <c r="B48" t="s">
        <v>169</v>
      </c>
      <c r="C48" s="12">
        <v>67</v>
      </c>
      <c r="D48" s="8">
        <v>5.97</v>
      </c>
      <c r="E48" s="12">
        <v>60</v>
      </c>
      <c r="F48" s="8">
        <v>10.15</v>
      </c>
      <c r="G48" s="12">
        <v>7</v>
      </c>
      <c r="H48" s="8">
        <v>1.33</v>
      </c>
      <c r="I48" s="12">
        <v>0</v>
      </c>
    </row>
    <row r="49" spans="2:9" ht="15" customHeight="1" x14ac:dyDescent="0.2">
      <c r="B49" t="s">
        <v>160</v>
      </c>
      <c r="C49" s="12">
        <v>49</v>
      </c>
      <c r="D49" s="8">
        <v>4.3600000000000003</v>
      </c>
      <c r="E49" s="12">
        <v>18</v>
      </c>
      <c r="F49" s="8">
        <v>3.05</v>
      </c>
      <c r="G49" s="12">
        <v>31</v>
      </c>
      <c r="H49" s="8">
        <v>5.87</v>
      </c>
      <c r="I49" s="12">
        <v>0</v>
      </c>
    </row>
    <row r="50" spans="2:9" ht="15" customHeight="1" x14ac:dyDescent="0.2">
      <c r="B50" t="s">
        <v>171</v>
      </c>
      <c r="C50" s="12">
        <v>40</v>
      </c>
      <c r="D50" s="8">
        <v>3.56</v>
      </c>
      <c r="E50" s="12">
        <v>33</v>
      </c>
      <c r="F50" s="8">
        <v>5.58</v>
      </c>
      <c r="G50" s="12">
        <v>7</v>
      </c>
      <c r="H50" s="8">
        <v>1.33</v>
      </c>
      <c r="I50" s="12">
        <v>0</v>
      </c>
    </row>
    <row r="51" spans="2:9" ht="15" customHeight="1" x14ac:dyDescent="0.2">
      <c r="B51" t="s">
        <v>170</v>
      </c>
      <c r="C51" s="12">
        <v>38</v>
      </c>
      <c r="D51" s="8">
        <v>3.38</v>
      </c>
      <c r="E51" s="12">
        <v>35</v>
      </c>
      <c r="F51" s="8">
        <v>5.92</v>
      </c>
      <c r="G51" s="12">
        <v>3</v>
      </c>
      <c r="H51" s="8">
        <v>0.56999999999999995</v>
      </c>
      <c r="I51" s="12">
        <v>0</v>
      </c>
    </row>
    <row r="52" spans="2:9" ht="15" customHeight="1" x14ac:dyDescent="0.2">
      <c r="B52" t="s">
        <v>165</v>
      </c>
      <c r="C52" s="12">
        <v>32</v>
      </c>
      <c r="D52" s="8">
        <v>2.85</v>
      </c>
      <c r="E52" s="12">
        <v>29</v>
      </c>
      <c r="F52" s="8">
        <v>4.91</v>
      </c>
      <c r="G52" s="12">
        <v>3</v>
      </c>
      <c r="H52" s="8">
        <v>0.56999999999999995</v>
      </c>
      <c r="I52" s="12">
        <v>0</v>
      </c>
    </row>
    <row r="53" spans="2:9" ht="15" customHeight="1" x14ac:dyDescent="0.2">
      <c r="B53" t="s">
        <v>161</v>
      </c>
      <c r="C53" s="12">
        <v>27</v>
      </c>
      <c r="D53" s="8">
        <v>2.4</v>
      </c>
      <c r="E53" s="12">
        <v>20</v>
      </c>
      <c r="F53" s="8">
        <v>3.38</v>
      </c>
      <c r="G53" s="12">
        <v>7</v>
      </c>
      <c r="H53" s="8">
        <v>1.33</v>
      </c>
      <c r="I53" s="12">
        <v>0</v>
      </c>
    </row>
    <row r="54" spans="2:9" ht="15" customHeight="1" x14ac:dyDescent="0.2">
      <c r="B54" t="s">
        <v>168</v>
      </c>
      <c r="C54" s="12">
        <v>26</v>
      </c>
      <c r="D54" s="8">
        <v>2.3199999999999998</v>
      </c>
      <c r="E54" s="12">
        <v>25</v>
      </c>
      <c r="F54" s="8">
        <v>4.2300000000000004</v>
      </c>
      <c r="G54" s="12">
        <v>1</v>
      </c>
      <c r="H54" s="8">
        <v>0.19</v>
      </c>
      <c r="I54" s="12">
        <v>0</v>
      </c>
    </row>
    <row r="55" spans="2:9" ht="15" customHeight="1" x14ac:dyDescent="0.2">
      <c r="B55" t="s">
        <v>152</v>
      </c>
      <c r="C55" s="12">
        <v>24</v>
      </c>
      <c r="D55" s="8">
        <v>2.14</v>
      </c>
      <c r="E55" s="12">
        <v>1</v>
      </c>
      <c r="F55" s="8">
        <v>0.17</v>
      </c>
      <c r="G55" s="12">
        <v>23</v>
      </c>
      <c r="H55" s="8">
        <v>4.3600000000000003</v>
      </c>
      <c r="I55" s="12">
        <v>0</v>
      </c>
    </row>
    <row r="56" spans="2:9" ht="15" customHeight="1" x14ac:dyDescent="0.2">
      <c r="B56" t="s">
        <v>167</v>
      </c>
      <c r="C56" s="12">
        <v>23</v>
      </c>
      <c r="D56" s="8">
        <v>2.0499999999999998</v>
      </c>
      <c r="E56" s="12">
        <v>21</v>
      </c>
      <c r="F56" s="8">
        <v>3.55</v>
      </c>
      <c r="G56" s="12">
        <v>2</v>
      </c>
      <c r="H56" s="8">
        <v>0.38</v>
      </c>
      <c r="I56" s="12">
        <v>0</v>
      </c>
    </row>
    <row r="57" spans="2:9" ht="15" customHeight="1" x14ac:dyDescent="0.2">
      <c r="B57" t="s">
        <v>164</v>
      </c>
      <c r="C57" s="12">
        <v>22</v>
      </c>
      <c r="D57" s="8">
        <v>1.96</v>
      </c>
      <c r="E57" s="12">
        <v>18</v>
      </c>
      <c r="F57" s="8">
        <v>3.05</v>
      </c>
      <c r="G57" s="12">
        <v>4</v>
      </c>
      <c r="H57" s="8">
        <v>0.76</v>
      </c>
      <c r="I57" s="12">
        <v>0</v>
      </c>
    </row>
    <row r="58" spans="2:9" ht="15" customHeight="1" x14ac:dyDescent="0.2">
      <c r="B58" t="s">
        <v>196</v>
      </c>
      <c r="C58" s="12">
        <v>22</v>
      </c>
      <c r="D58" s="8">
        <v>1.96</v>
      </c>
      <c r="E58" s="12">
        <v>14</v>
      </c>
      <c r="F58" s="8">
        <v>2.37</v>
      </c>
      <c r="G58" s="12">
        <v>8</v>
      </c>
      <c r="H58" s="8">
        <v>1.52</v>
      </c>
      <c r="I58" s="12">
        <v>0</v>
      </c>
    </row>
    <row r="59" spans="2:9" ht="15" customHeight="1" x14ac:dyDescent="0.2">
      <c r="B59" t="s">
        <v>174</v>
      </c>
      <c r="C59" s="12">
        <v>21</v>
      </c>
      <c r="D59" s="8">
        <v>1.87</v>
      </c>
      <c r="E59" s="12">
        <v>1</v>
      </c>
      <c r="F59" s="8">
        <v>0.17</v>
      </c>
      <c r="G59" s="12">
        <v>20</v>
      </c>
      <c r="H59" s="8">
        <v>3.79</v>
      </c>
      <c r="I59" s="12">
        <v>0</v>
      </c>
    </row>
    <row r="60" spans="2:9" ht="15" customHeight="1" x14ac:dyDescent="0.2">
      <c r="B60" t="s">
        <v>156</v>
      </c>
      <c r="C60" s="12">
        <v>19</v>
      </c>
      <c r="D60" s="8">
        <v>1.69</v>
      </c>
      <c r="E60" s="12">
        <v>13</v>
      </c>
      <c r="F60" s="8">
        <v>2.2000000000000002</v>
      </c>
      <c r="G60" s="12">
        <v>6</v>
      </c>
      <c r="H60" s="8">
        <v>1.1399999999999999</v>
      </c>
      <c r="I60" s="12">
        <v>0</v>
      </c>
    </row>
    <row r="61" spans="2:9" ht="15" customHeight="1" x14ac:dyDescent="0.2">
      <c r="B61" t="s">
        <v>215</v>
      </c>
      <c r="C61" s="12">
        <v>19</v>
      </c>
      <c r="D61" s="8">
        <v>1.69</v>
      </c>
      <c r="E61" s="12">
        <v>14</v>
      </c>
      <c r="F61" s="8">
        <v>2.37</v>
      </c>
      <c r="G61" s="12">
        <v>5</v>
      </c>
      <c r="H61" s="8">
        <v>0.95</v>
      </c>
      <c r="I61" s="12">
        <v>0</v>
      </c>
    </row>
    <row r="62" spans="2:9" ht="15" customHeight="1" x14ac:dyDescent="0.2">
      <c r="B62" t="s">
        <v>166</v>
      </c>
      <c r="C62" s="12">
        <v>19</v>
      </c>
      <c r="D62" s="8">
        <v>1.69</v>
      </c>
      <c r="E62" s="12">
        <v>19</v>
      </c>
      <c r="F62" s="8">
        <v>3.21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198</v>
      </c>
      <c r="C63" s="12">
        <v>19</v>
      </c>
      <c r="D63" s="8">
        <v>1.69</v>
      </c>
      <c r="E63" s="12">
        <v>14</v>
      </c>
      <c r="F63" s="8">
        <v>2.37</v>
      </c>
      <c r="G63" s="12">
        <v>5</v>
      </c>
      <c r="H63" s="8">
        <v>0.95</v>
      </c>
      <c r="I63" s="12">
        <v>0</v>
      </c>
    </row>
    <row r="64" spans="2:9" ht="15" customHeight="1" x14ac:dyDescent="0.2">
      <c r="B64" t="s">
        <v>157</v>
      </c>
      <c r="C64" s="12">
        <v>18</v>
      </c>
      <c r="D64" s="8">
        <v>1.6</v>
      </c>
      <c r="E64" s="12">
        <v>13</v>
      </c>
      <c r="F64" s="8">
        <v>2.2000000000000002</v>
      </c>
      <c r="G64" s="12">
        <v>5</v>
      </c>
      <c r="H64" s="8">
        <v>0.95</v>
      </c>
      <c r="I64" s="12">
        <v>0</v>
      </c>
    </row>
    <row r="65" spans="2:9" ht="15" customHeight="1" x14ac:dyDescent="0.2">
      <c r="B65" t="s">
        <v>199</v>
      </c>
      <c r="C65" s="12">
        <v>18</v>
      </c>
      <c r="D65" s="8">
        <v>1.6</v>
      </c>
      <c r="E65" s="12">
        <v>14</v>
      </c>
      <c r="F65" s="8">
        <v>2.37</v>
      </c>
      <c r="G65" s="12">
        <v>4</v>
      </c>
      <c r="H65" s="8">
        <v>0.76</v>
      </c>
      <c r="I65" s="12">
        <v>0</v>
      </c>
    </row>
    <row r="66" spans="2:9" ht="15" customHeight="1" x14ac:dyDescent="0.2">
      <c r="B66" t="s">
        <v>153</v>
      </c>
      <c r="C66" s="12">
        <v>16</v>
      </c>
      <c r="D66" s="8">
        <v>1.42</v>
      </c>
      <c r="E66" s="12">
        <v>2</v>
      </c>
      <c r="F66" s="8">
        <v>0.34</v>
      </c>
      <c r="G66" s="12">
        <v>14</v>
      </c>
      <c r="H66" s="8">
        <v>2.65</v>
      </c>
      <c r="I66" s="12">
        <v>0</v>
      </c>
    </row>
    <row r="67" spans="2:9" ht="15" customHeight="1" x14ac:dyDescent="0.2">
      <c r="B67" t="s">
        <v>158</v>
      </c>
      <c r="C67" s="12">
        <v>16</v>
      </c>
      <c r="D67" s="8">
        <v>1.42</v>
      </c>
      <c r="E67" s="12">
        <v>4</v>
      </c>
      <c r="F67" s="8">
        <v>0.68</v>
      </c>
      <c r="G67" s="12">
        <v>12</v>
      </c>
      <c r="H67" s="8">
        <v>2.27</v>
      </c>
      <c r="I67" s="12">
        <v>0</v>
      </c>
    </row>
    <row r="68" spans="2:9" ht="15" customHeight="1" x14ac:dyDescent="0.2">
      <c r="B68" t="s">
        <v>162</v>
      </c>
      <c r="C68" s="12">
        <v>16</v>
      </c>
      <c r="D68" s="8">
        <v>1.42</v>
      </c>
      <c r="E68" s="12">
        <v>0</v>
      </c>
      <c r="F68" s="8">
        <v>0</v>
      </c>
      <c r="G68" s="12">
        <v>16</v>
      </c>
      <c r="H68" s="8">
        <v>3.03</v>
      </c>
      <c r="I68" s="12">
        <v>0</v>
      </c>
    </row>
    <row r="70" spans="2:9" ht="15" customHeight="1" x14ac:dyDescent="0.2">
      <c r="B70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5F874-96E2-4FB2-8BAE-93C6231CD8B2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332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166</v>
      </c>
      <c r="D6" s="8">
        <v>10.050000000000001</v>
      </c>
      <c r="E6" s="12">
        <v>54</v>
      </c>
      <c r="F6" s="8">
        <v>5.59</v>
      </c>
      <c r="G6" s="12">
        <v>112</v>
      </c>
      <c r="H6" s="8">
        <v>16.37</v>
      </c>
      <c r="I6" s="12">
        <v>0</v>
      </c>
    </row>
    <row r="7" spans="2:9" ht="15" customHeight="1" x14ac:dyDescent="0.2">
      <c r="B7" t="s">
        <v>77</v>
      </c>
      <c r="C7" s="12">
        <v>149</v>
      </c>
      <c r="D7" s="8">
        <v>9.02</v>
      </c>
      <c r="E7" s="12">
        <v>60</v>
      </c>
      <c r="F7" s="8">
        <v>6.21</v>
      </c>
      <c r="G7" s="12">
        <v>89</v>
      </c>
      <c r="H7" s="8">
        <v>13.01</v>
      </c>
      <c r="I7" s="12">
        <v>0</v>
      </c>
    </row>
    <row r="8" spans="2:9" ht="15" customHeight="1" x14ac:dyDescent="0.2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79</v>
      </c>
      <c r="C9" s="12">
        <v>10</v>
      </c>
      <c r="D9" s="8">
        <v>0.61</v>
      </c>
      <c r="E9" s="12">
        <v>1</v>
      </c>
      <c r="F9" s="8">
        <v>0.1</v>
      </c>
      <c r="G9" s="12">
        <v>9</v>
      </c>
      <c r="H9" s="8">
        <v>1.32</v>
      </c>
      <c r="I9" s="12">
        <v>0</v>
      </c>
    </row>
    <row r="10" spans="2:9" ht="15" customHeight="1" x14ac:dyDescent="0.2">
      <c r="B10" t="s">
        <v>80</v>
      </c>
      <c r="C10" s="12">
        <v>10</v>
      </c>
      <c r="D10" s="8">
        <v>0.61</v>
      </c>
      <c r="E10" s="12">
        <v>3</v>
      </c>
      <c r="F10" s="8">
        <v>0.31</v>
      </c>
      <c r="G10" s="12">
        <v>7</v>
      </c>
      <c r="H10" s="8">
        <v>1.02</v>
      </c>
      <c r="I10" s="12">
        <v>0</v>
      </c>
    </row>
    <row r="11" spans="2:9" ht="15" customHeight="1" x14ac:dyDescent="0.2">
      <c r="B11" t="s">
        <v>81</v>
      </c>
      <c r="C11" s="12">
        <v>338</v>
      </c>
      <c r="D11" s="8">
        <v>20.46</v>
      </c>
      <c r="E11" s="12">
        <v>182</v>
      </c>
      <c r="F11" s="8">
        <v>18.84</v>
      </c>
      <c r="G11" s="12">
        <v>156</v>
      </c>
      <c r="H11" s="8">
        <v>22.81</v>
      </c>
      <c r="I11" s="12">
        <v>0</v>
      </c>
    </row>
    <row r="12" spans="2:9" ht="15" customHeight="1" x14ac:dyDescent="0.2">
      <c r="B12" t="s">
        <v>82</v>
      </c>
      <c r="C12" s="12">
        <v>12</v>
      </c>
      <c r="D12" s="8">
        <v>0.73</v>
      </c>
      <c r="E12" s="12">
        <v>4</v>
      </c>
      <c r="F12" s="8">
        <v>0.41</v>
      </c>
      <c r="G12" s="12">
        <v>8</v>
      </c>
      <c r="H12" s="8">
        <v>1.17</v>
      </c>
      <c r="I12" s="12">
        <v>0</v>
      </c>
    </row>
    <row r="13" spans="2:9" ht="15" customHeight="1" x14ac:dyDescent="0.2">
      <c r="B13" t="s">
        <v>83</v>
      </c>
      <c r="C13" s="12">
        <v>291</v>
      </c>
      <c r="D13" s="8">
        <v>17.62</v>
      </c>
      <c r="E13" s="12">
        <v>125</v>
      </c>
      <c r="F13" s="8">
        <v>12.94</v>
      </c>
      <c r="G13" s="12">
        <v>166</v>
      </c>
      <c r="H13" s="8">
        <v>24.27</v>
      </c>
      <c r="I13" s="12">
        <v>0</v>
      </c>
    </row>
    <row r="14" spans="2:9" ht="15" customHeight="1" x14ac:dyDescent="0.2">
      <c r="B14" t="s">
        <v>84</v>
      </c>
      <c r="C14" s="12">
        <v>53</v>
      </c>
      <c r="D14" s="8">
        <v>3.21</v>
      </c>
      <c r="E14" s="12">
        <v>28</v>
      </c>
      <c r="F14" s="8">
        <v>2.9</v>
      </c>
      <c r="G14" s="12">
        <v>24</v>
      </c>
      <c r="H14" s="8">
        <v>3.51</v>
      </c>
      <c r="I14" s="12">
        <v>0</v>
      </c>
    </row>
    <row r="15" spans="2:9" ht="15" customHeight="1" x14ac:dyDescent="0.2">
      <c r="B15" t="s">
        <v>85</v>
      </c>
      <c r="C15" s="12">
        <v>247</v>
      </c>
      <c r="D15" s="8">
        <v>14.95</v>
      </c>
      <c r="E15" s="12">
        <v>220</v>
      </c>
      <c r="F15" s="8">
        <v>22.77</v>
      </c>
      <c r="G15" s="12">
        <v>27</v>
      </c>
      <c r="H15" s="8">
        <v>3.95</v>
      </c>
      <c r="I15" s="12">
        <v>0</v>
      </c>
    </row>
    <row r="16" spans="2:9" ht="15" customHeight="1" x14ac:dyDescent="0.2">
      <c r="B16" t="s">
        <v>86</v>
      </c>
      <c r="C16" s="12">
        <v>174</v>
      </c>
      <c r="D16" s="8">
        <v>10.53</v>
      </c>
      <c r="E16" s="12">
        <v>144</v>
      </c>
      <c r="F16" s="8">
        <v>14.91</v>
      </c>
      <c r="G16" s="12">
        <v>30</v>
      </c>
      <c r="H16" s="8">
        <v>4.3899999999999997</v>
      </c>
      <c r="I16" s="12">
        <v>0</v>
      </c>
    </row>
    <row r="17" spans="2:9" ht="15" customHeight="1" x14ac:dyDescent="0.2">
      <c r="B17" t="s">
        <v>87</v>
      </c>
      <c r="C17" s="12">
        <v>67</v>
      </c>
      <c r="D17" s="8">
        <v>4.0599999999999996</v>
      </c>
      <c r="E17" s="12">
        <v>56</v>
      </c>
      <c r="F17" s="8">
        <v>5.8</v>
      </c>
      <c r="G17" s="12">
        <v>11</v>
      </c>
      <c r="H17" s="8">
        <v>1.61</v>
      </c>
      <c r="I17" s="12">
        <v>0</v>
      </c>
    </row>
    <row r="18" spans="2:9" ht="15" customHeight="1" x14ac:dyDescent="0.2">
      <c r="B18" t="s">
        <v>88</v>
      </c>
      <c r="C18" s="12">
        <v>89</v>
      </c>
      <c r="D18" s="8">
        <v>5.39</v>
      </c>
      <c r="E18" s="12">
        <v>66</v>
      </c>
      <c r="F18" s="8">
        <v>6.83</v>
      </c>
      <c r="G18" s="12">
        <v>23</v>
      </c>
      <c r="H18" s="8">
        <v>3.36</v>
      </c>
      <c r="I18" s="12">
        <v>0</v>
      </c>
    </row>
    <row r="19" spans="2:9" ht="15" customHeight="1" x14ac:dyDescent="0.2">
      <c r="B19" t="s">
        <v>89</v>
      </c>
      <c r="C19" s="12">
        <v>46</v>
      </c>
      <c r="D19" s="8">
        <v>2.78</v>
      </c>
      <c r="E19" s="12">
        <v>23</v>
      </c>
      <c r="F19" s="8">
        <v>2.38</v>
      </c>
      <c r="G19" s="12">
        <v>22</v>
      </c>
      <c r="H19" s="8">
        <v>3.22</v>
      </c>
      <c r="I19" s="12">
        <v>0</v>
      </c>
    </row>
    <row r="20" spans="2:9" ht="15" customHeight="1" x14ac:dyDescent="0.2">
      <c r="B20" s="9" t="s">
        <v>271</v>
      </c>
      <c r="C20" s="12">
        <f>SUM(LTBL_27226[総数／事業所数])</f>
        <v>1652</v>
      </c>
      <c r="E20" s="12">
        <f>SUBTOTAL(109,LTBL_27226[個人／事業所数])</f>
        <v>966</v>
      </c>
      <c r="G20" s="12">
        <f>SUBTOTAL(109,LTBL_27226[法人／事業所数])</f>
        <v>684</v>
      </c>
      <c r="I20" s="12">
        <f>SUBTOTAL(109,LTBL_27226[法人以外の団体／事業所数])</f>
        <v>0</v>
      </c>
    </row>
    <row r="21" spans="2:9" ht="15" customHeight="1" x14ac:dyDescent="0.2">
      <c r="E21" s="11">
        <f>LTBL_27226[[#Totals],[個人／事業所数]]/LTBL_27226[[#Totals],[総数／事業所数]]</f>
        <v>0.5847457627118644</v>
      </c>
      <c r="G21" s="11">
        <f>LTBL_27226[[#Totals],[法人／事業所数]]/LTBL_27226[[#Totals],[総数／事業所数]]</f>
        <v>0.41404358353510895</v>
      </c>
      <c r="I21" s="11">
        <f>LTBL_27226[[#Totals],[法人以外の団体／事業所数]]/LTBL_27226[[#Totals],[総数／事業所数]]</f>
        <v>0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110</v>
      </c>
      <c r="C24" s="12">
        <v>244</v>
      </c>
      <c r="D24" s="8">
        <v>14.77</v>
      </c>
      <c r="E24" s="12">
        <v>111</v>
      </c>
      <c r="F24" s="8">
        <v>11.49</v>
      </c>
      <c r="G24" s="12">
        <v>133</v>
      </c>
      <c r="H24" s="8">
        <v>19.440000000000001</v>
      </c>
      <c r="I24" s="12">
        <v>0</v>
      </c>
    </row>
    <row r="25" spans="2:9" ht="15" customHeight="1" x14ac:dyDescent="0.2">
      <c r="B25" t="s">
        <v>113</v>
      </c>
      <c r="C25" s="12">
        <v>227</v>
      </c>
      <c r="D25" s="8">
        <v>13.74</v>
      </c>
      <c r="E25" s="12">
        <v>206</v>
      </c>
      <c r="F25" s="8">
        <v>21.33</v>
      </c>
      <c r="G25" s="12">
        <v>21</v>
      </c>
      <c r="H25" s="8">
        <v>3.07</v>
      </c>
      <c r="I25" s="12">
        <v>0</v>
      </c>
    </row>
    <row r="26" spans="2:9" ht="15" customHeight="1" x14ac:dyDescent="0.2">
      <c r="B26" t="s">
        <v>114</v>
      </c>
      <c r="C26" s="12">
        <v>141</v>
      </c>
      <c r="D26" s="8">
        <v>8.5399999999999991</v>
      </c>
      <c r="E26" s="12">
        <v>123</v>
      </c>
      <c r="F26" s="8">
        <v>12.73</v>
      </c>
      <c r="G26" s="12">
        <v>18</v>
      </c>
      <c r="H26" s="8">
        <v>2.63</v>
      </c>
      <c r="I26" s="12">
        <v>0</v>
      </c>
    </row>
    <row r="27" spans="2:9" ht="15" customHeight="1" x14ac:dyDescent="0.2">
      <c r="B27" t="s">
        <v>108</v>
      </c>
      <c r="C27" s="12">
        <v>96</v>
      </c>
      <c r="D27" s="8">
        <v>5.81</v>
      </c>
      <c r="E27" s="12">
        <v>55</v>
      </c>
      <c r="F27" s="8">
        <v>5.69</v>
      </c>
      <c r="G27" s="12">
        <v>41</v>
      </c>
      <c r="H27" s="8">
        <v>5.99</v>
      </c>
      <c r="I27" s="12">
        <v>0</v>
      </c>
    </row>
    <row r="28" spans="2:9" ht="15" customHeight="1" x14ac:dyDescent="0.2">
      <c r="B28" t="s">
        <v>98</v>
      </c>
      <c r="C28" s="12">
        <v>84</v>
      </c>
      <c r="D28" s="8">
        <v>5.08</v>
      </c>
      <c r="E28" s="12">
        <v>25</v>
      </c>
      <c r="F28" s="8">
        <v>2.59</v>
      </c>
      <c r="G28" s="12">
        <v>59</v>
      </c>
      <c r="H28" s="8">
        <v>8.6300000000000008</v>
      </c>
      <c r="I28" s="12">
        <v>0</v>
      </c>
    </row>
    <row r="29" spans="2:9" ht="15" customHeight="1" x14ac:dyDescent="0.2">
      <c r="B29" t="s">
        <v>106</v>
      </c>
      <c r="C29" s="12">
        <v>70</v>
      </c>
      <c r="D29" s="8">
        <v>4.24</v>
      </c>
      <c r="E29" s="12">
        <v>59</v>
      </c>
      <c r="F29" s="8">
        <v>6.11</v>
      </c>
      <c r="G29" s="12">
        <v>11</v>
      </c>
      <c r="H29" s="8">
        <v>1.61</v>
      </c>
      <c r="I29" s="12">
        <v>0</v>
      </c>
    </row>
    <row r="30" spans="2:9" ht="15" customHeight="1" x14ac:dyDescent="0.2">
      <c r="B30" t="s">
        <v>116</v>
      </c>
      <c r="C30" s="12">
        <v>69</v>
      </c>
      <c r="D30" s="8">
        <v>4.18</v>
      </c>
      <c r="E30" s="12">
        <v>65</v>
      </c>
      <c r="F30" s="8">
        <v>6.73</v>
      </c>
      <c r="G30" s="12">
        <v>4</v>
      </c>
      <c r="H30" s="8">
        <v>0.57999999999999996</v>
      </c>
      <c r="I30" s="12">
        <v>0</v>
      </c>
    </row>
    <row r="31" spans="2:9" ht="15" customHeight="1" x14ac:dyDescent="0.2">
      <c r="B31" t="s">
        <v>115</v>
      </c>
      <c r="C31" s="12">
        <v>67</v>
      </c>
      <c r="D31" s="8">
        <v>4.0599999999999996</v>
      </c>
      <c r="E31" s="12">
        <v>56</v>
      </c>
      <c r="F31" s="8">
        <v>5.8</v>
      </c>
      <c r="G31" s="12">
        <v>11</v>
      </c>
      <c r="H31" s="8">
        <v>1.61</v>
      </c>
      <c r="I31" s="12">
        <v>0</v>
      </c>
    </row>
    <row r="32" spans="2:9" ht="15" customHeight="1" x14ac:dyDescent="0.2">
      <c r="B32" t="s">
        <v>105</v>
      </c>
      <c r="C32" s="12">
        <v>52</v>
      </c>
      <c r="D32" s="8">
        <v>3.15</v>
      </c>
      <c r="E32" s="12">
        <v>28</v>
      </c>
      <c r="F32" s="8">
        <v>2.9</v>
      </c>
      <c r="G32" s="12">
        <v>24</v>
      </c>
      <c r="H32" s="8">
        <v>3.51</v>
      </c>
      <c r="I32" s="12">
        <v>0</v>
      </c>
    </row>
    <row r="33" spans="2:9" ht="15" customHeight="1" x14ac:dyDescent="0.2">
      <c r="B33" t="s">
        <v>100</v>
      </c>
      <c r="C33" s="12">
        <v>43</v>
      </c>
      <c r="D33" s="8">
        <v>2.6</v>
      </c>
      <c r="E33" s="12">
        <v>13</v>
      </c>
      <c r="F33" s="8">
        <v>1.35</v>
      </c>
      <c r="G33" s="12">
        <v>30</v>
      </c>
      <c r="H33" s="8">
        <v>4.3899999999999997</v>
      </c>
      <c r="I33" s="12">
        <v>0</v>
      </c>
    </row>
    <row r="34" spans="2:9" ht="15" customHeight="1" x14ac:dyDescent="0.2">
      <c r="B34" t="s">
        <v>107</v>
      </c>
      <c r="C34" s="12">
        <v>41</v>
      </c>
      <c r="D34" s="8">
        <v>2.48</v>
      </c>
      <c r="E34" s="12">
        <v>25</v>
      </c>
      <c r="F34" s="8">
        <v>2.59</v>
      </c>
      <c r="G34" s="12">
        <v>16</v>
      </c>
      <c r="H34" s="8">
        <v>2.34</v>
      </c>
      <c r="I34" s="12">
        <v>0</v>
      </c>
    </row>
    <row r="35" spans="2:9" ht="15" customHeight="1" x14ac:dyDescent="0.2">
      <c r="B35" t="s">
        <v>109</v>
      </c>
      <c r="C35" s="12">
        <v>40</v>
      </c>
      <c r="D35" s="8">
        <v>2.42</v>
      </c>
      <c r="E35" s="12">
        <v>13</v>
      </c>
      <c r="F35" s="8">
        <v>1.35</v>
      </c>
      <c r="G35" s="12">
        <v>27</v>
      </c>
      <c r="H35" s="8">
        <v>3.95</v>
      </c>
      <c r="I35" s="12">
        <v>0</v>
      </c>
    </row>
    <row r="36" spans="2:9" ht="15" customHeight="1" x14ac:dyDescent="0.2">
      <c r="B36" t="s">
        <v>99</v>
      </c>
      <c r="C36" s="12">
        <v>39</v>
      </c>
      <c r="D36" s="8">
        <v>2.36</v>
      </c>
      <c r="E36" s="12">
        <v>16</v>
      </c>
      <c r="F36" s="8">
        <v>1.66</v>
      </c>
      <c r="G36" s="12">
        <v>23</v>
      </c>
      <c r="H36" s="8">
        <v>3.36</v>
      </c>
      <c r="I36" s="12">
        <v>0</v>
      </c>
    </row>
    <row r="37" spans="2:9" ht="15" customHeight="1" x14ac:dyDescent="0.2">
      <c r="B37" t="s">
        <v>111</v>
      </c>
      <c r="C37" s="12">
        <v>39</v>
      </c>
      <c r="D37" s="8">
        <v>2.36</v>
      </c>
      <c r="E37" s="12">
        <v>21</v>
      </c>
      <c r="F37" s="8">
        <v>2.17</v>
      </c>
      <c r="G37" s="12">
        <v>18</v>
      </c>
      <c r="H37" s="8">
        <v>2.63</v>
      </c>
      <c r="I37" s="12">
        <v>0</v>
      </c>
    </row>
    <row r="38" spans="2:9" ht="15" customHeight="1" x14ac:dyDescent="0.2">
      <c r="B38" t="s">
        <v>101</v>
      </c>
      <c r="C38" s="12">
        <v>30</v>
      </c>
      <c r="D38" s="8">
        <v>1.82</v>
      </c>
      <c r="E38" s="12">
        <v>13</v>
      </c>
      <c r="F38" s="8">
        <v>1.35</v>
      </c>
      <c r="G38" s="12">
        <v>17</v>
      </c>
      <c r="H38" s="8">
        <v>2.4900000000000002</v>
      </c>
      <c r="I38" s="12">
        <v>0</v>
      </c>
    </row>
    <row r="39" spans="2:9" ht="15" customHeight="1" x14ac:dyDescent="0.2">
      <c r="B39" t="s">
        <v>130</v>
      </c>
      <c r="C39" s="12">
        <v>24</v>
      </c>
      <c r="D39" s="8">
        <v>1.45</v>
      </c>
      <c r="E39" s="12">
        <v>14</v>
      </c>
      <c r="F39" s="8">
        <v>1.45</v>
      </c>
      <c r="G39" s="12">
        <v>10</v>
      </c>
      <c r="H39" s="8">
        <v>1.46</v>
      </c>
      <c r="I39" s="12">
        <v>0</v>
      </c>
    </row>
    <row r="40" spans="2:9" ht="15" customHeight="1" x14ac:dyDescent="0.2">
      <c r="B40" t="s">
        <v>132</v>
      </c>
      <c r="C40" s="12">
        <v>21</v>
      </c>
      <c r="D40" s="8">
        <v>1.27</v>
      </c>
      <c r="E40" s="12">
        <v>9</v>
      </c>
      <c r="F40" s="8">
        <v>0.93</v>
      </c>
      <c r="G40" s="12">
        <v>12</v>
      </c>
      <c r="H40" s="8">
        <v>1.75</v>
      </c>
      <c r="I40" s="12">
        <v>0</v>
      </c>
    </row>
    <row r="41" spans="2:9" ht="15" customHeight="1" x14ac:dyDescent="0.2">
      <c r="B41" t="s">
        <v>104</v>
      </c>
      <c r="C41" s="12">
        <v>21</v>
      </c>
      <c r="D41" s="8">
        <v>1.27</v>
      </c>
      <c r="E41" s="12">
        <v>2</v>
      </c>
      <c r="F41" s="8">
        <v>0.21</v>
      </c>
      <c r="G41" s="12">
        <v>19</v>
      </c>
      <c r="H41" s="8">
        <v>2.78</v>
      </c>
      <c r="I41" s="12">
        <v>0</v>
      </c>
    </row>
    <row r="42" spans="2:9" ht="15" customHeight="1" x14ac:dyDescent="0.2">
      <c r="B42" t="s">
        <v>117</v>
      </c>
      <c r="C42" s="12">
        <v>20</v>
      </c>
      <c r="D42" s="8">
        <v>1.21</v>
      </c>
      <c r="E42" s="12">
        <v>1</v>
      </c>
      <c r="F42" s="8">
        <v>0.1</v>
      </c>
      <c r="G42" s="12">
        <v>19</v>
      </c>
      <c r="H42" s="8">
        <v>2.78</v>
      </c>
      <c r="I42" s="12">
        <v>0</v>
      </c>
    </row>
    <row r="43" spans="2:9" ht="15" customHeight="1" x14ac:dyDescent="0.2">
      <c r="B43" t="s">
        <v>134</v>
      </c>
      <c r="C43" s="12">
        <v>17</v>
      </c>
      <c r="D43" s="8">
        <v>1.03</v>
      </c>
      <c r="E43" s="12">
        <v>8</v>
      </c>
      <c r="F43" s="8">
        <v>0.83</v>
      </c>
      <c r="G43" s="12">
        <v>9</v>
      </c>
      <c r="H43" s="8">
        <v>1.32</v>
      </c>
      <c r="I43" s="12">
        <v>0</v>
      </c>
    </row>
    <row r="44" spans="2:9" ht="15" customHeight="1" x14ac:dyDescent="0.2">
      <c r="B44" t="s">
        <v>102</v>
      </c>
      <c r="C44" s="12">
        <v>17</v>
      </c>
      <c r="D44" s="8">
        <v>1.03</v>
      </c>
      <c r="E44" s="12">
        <v>2</v>
      </c>
      <c r="F44" s="8">
        <v>0.21</v>
      </c>
      <c r="G44" s="12">
        <v>15</v>
      </c>
      <c r="H44" s="8">
        <v>2.19</v>
      </c>
      <c r="I44" s="12">
        <v>0</v>
      </c>
    </row>
    <row r="45" spans="2:9" ht="15" customHeight="1" x14ac:dyDescent="0.2">
      <c r="B45" t="s">
        <v>103</v>
      </c>
      <c r="C45" s="12">
        <v>17</v>
      </c>
      <c r="D45" s="8">
        <v>1.03</v>
      </c>
      <c r="E45" s="12">
        <v>6</v>
      </c>
      <c r="F45" s="8">
        <v>0.62</v>
      </c>
      <c r="G45" s="12">
        <v>11</v>
      </c>
      <c r="H45" s="8">
        <v>1.61</v>
      </c>
      <c r="I45" s="12">
        <v>0</v>
      </c>
    </row>
    <row r="46" spans="2:9" ht="15" customHeight="1" x14ac:dyDescent="0.2">
      <c r="B46" t="s">
        <v>124</v>
      </c>
      <c r="C46" s="12">
        <v>17</v>
      </c>
      <c r="D46" s="8">
        <v>1.03</v>
      </c>
      <c r="E46" s="12">
        <v>11</v>
      </c>
      <c r="F46" s="8">
        <v>1.1399999999999999</v>
      </c>
      <c r="G46" s="12">
        <v>6</v>
      </c>
      <c r="H46" s="8">
        <v>0.88</v>
      </c>
      <c r="I46" s="12">
        <v>0</v>
      </c>
    </row>
    <row r="49" spans="2:9" ht="33" customHeight="1" x14ac:dyDescent="0.2">
      <c r="B49" t="s">
        <v>273</v>
      </c>
      <c r="C49" s="10" t="s">
        <v>91</v>
      </c>
      <c r="D49" s="10" t="s">
        <v>92</v>
      </c>
      <c r="E49" s="10" t="s">
        <v>93</v>
      </c>
      <c r="F49" s="10" t="s">
        <v>94</v>
      </c>
      <c r="G49" s="10" t="s">
        <v>95</v>
      </c>
      <c r="H49" s="10" t="s">
        <v>96</v>
      </c>
      <c r="I49" s="10" t="s">
        <v>97</v>
      </c>
    </row>
    <row r="50" spans="2:9" ht="15" customHeight="1" x14ac:dyDescent="0.2">
      <c r="B50" t="s">
        <v>160</v>
      </c>
      <c r="C50" s="12">
        <v>115</v>
      </c>
      <c r="D50" s="8">
        <v>6.96</v>
      </c>
      <c r="E50" s="12">
        <v>53</v>
      </c>
      <c r="F50" s="8">
        <v>5.49</v>
      </c>
      <c r="G50" s="12">
        <v>62</v>
      </c>
      <c r="H50" s="8">
        <v>9.06</v>
      </c>
      <c r="I50" s="12">
        <v>0</v>
      </c>
    </row>
    <row r="51" spans="2:9" ht="15" customHeight="1" x14ac:dyDescent="0.2">
      <c r="B51" t="s">
        <v>169</v>
      </c>
      <c r="C51" s="12">
        <v>70</v>
      </c>
      <c r="D51" s="8">
        <v>4.24</v>
      </c>
      <c r="E51" s="12">
        <v>63</v>
      </c>
      <c r="F51" s="8">
        <v>6.52</v>
      </c>
      <c r="G51" s="12">
        <v>7</v>
      </c>
      <c r="H51" s="8">
        <v>1.02</v>
      </c>
      <c r="I51" s="12">
        <v>0</v>
      </c>
    </row>
    <row r="52" spans="2:9" ht="15" customHeight="1" x14ac:dyDescent="0.2">
      <c r="B52" t="s">
        <v>161</v>
      </c>
      <c r="C52" s="12">
        <v>66</v>
      </c>
      <c r="D52" s="8">
        <v>4</v>
      </c>
      <c r="E52" s="12">
        <v>51</v>
      </c>
      <c r="F52" s="8">
        <v>5.28</v>
      </c>
      <c r="G52" s="12">
        <v>15</v>
      </c>
      <c r="H52" s="8">
        <v>2.19</v>
      </c>
      <c r="I52" s="12">
        <v>0</v>
      </c>
    </row>
    <row r="53" spans="2:9" ht="15" customHeight="1" x14ac:dyDescent="0.2">
      <c r="B53" t="s">
        <v>165</v>
      </c>
      <c r="C53" s="12">
        <v>66</v>
      </c>
      <c r="D53" s="8">
        <v>4</v>
      </c>
      <c r="E53" s="12">
        <v>65</v>
      </c>
      <c r="F53" s="8">
        <v>6.73</v>
      </c>
      <c r="G53" s="12">
        <v>1</v>
      </c>
      <c r="H53" s="8">
        <v>0.15</v>
      </c>
      <c r="I53" s="12">
        <v>0</v>
      </c>
    </row>
    <row r="54" spans="2:9" ht="15" customHeight="1" x14ac:dyDescent="0.2">
      <c r="B54" t="s">
        <v>167</v>
      </c>
      <c r="C54" s="12">
        <v>51</v>
      </c>
      <c r="D54" s="8">
        <v>3.09</v>
      </c>
      <c r="E54" s="12">
        <v>47</v>
      </c>
      <c r="F54" s="8">
        <v>4.87</v>
      </c>
      <c r="G54" s="12">
        <v>4</v>
      </c>
      <c r="H54" s="8">
        <v>0.57999999999999996</v>
      </c>
      <c r="I54" s="12">
        <v>0</v>
      </c>
    </row>
    <row r="55" spans="2:9" ht="15" customHeight="1" x14ac:dyDescent="0.2">
      <c r="B55" t="s">
        <v>171</v>
      </c>
      <c r="C55" s="12">
        <v>48</v>
      </c>
      <c r="D55" s="8">
        <v>2.91</v>
      </c>
      <c r="E55" s="12">
        <v>47</v>
      </c>
      <c r="F55" s="8">
        <v>4.87</v>
      </c>
      <c r="G55" s="12">
        <v>1</v>
      </c>
      <c r="H55" s="8">
        <v>0.15</v>
      </c>
      <c r="I55" s="12">
        <v>0</v>
      </c>
    </row>
    <row r="56" spans="2:9" ht="15" customHeight="1" x14ac:dyDescent="0.2">
      <c r="B56" t="s">
        <v>170</v>
      </c>
      <c r="C56" s="12">
        <v>45</v>
      </c>
      <c r="D56" s="8">
        <v>2.72</v>
      </c>
      <c r="E56" s="12">
        <v>39</v>
      </c>
      <c r="F56" s="8">
        <v>4.04</v>
      </c>
      <c r="G56" s="12">
        <v>6</v>
      </c>
      <c r="H56" s="8">
        <v>0.88</v>
      </c>
      <c r="I56" s="12">
        <v>0</v>
      </c>
    </row>
    <row r="57" spans="2:9" ht="15" customHeight="1" x14ac:dyDescent="0.2">
      <c r="B57" t="s">
        <v>168</v>
      </c>
      <c r="C57" s="12">
        <v>42</v>
      </c>
      <c r="D57" s="8">
        <v>2.54</v>
      </c>
      <c r="E57" s="12">
        <v>39</v>
      </c>
      <c r="F57" s="8">
        <v>4.04</v>
      </c>
      <c r="G57" s="12">
        <v>3</v>
      </c>
      <c r="H57" s="8">
        <v>0.44</v>
      </c>
      <c r="I57" s="12">
        <v>0</v>
      </c>
    </row>
    <row r="58" spans="2:9" ht="15" customHeight="1" x14ac:dyDescent="0.2">
      <c r="B58" t="s">
        <v>157</v>
      </c>
      <c r="C58" s="12">
        <v>41</v>
      </c>
      <c r="D58" s="8">
        <v>2.48</v>
      </c>
      <c r="E58" s="12">
        <v>34</v>
      </c>
      <c r="F58" s="8">
        <v>3.52</v>
      </c>
      <c r="G58" s="12">
        <v>7</v>
      </c>
      <c r="H58" s="8">
        <v>1.02</v>
      </c>
      <c r="I58" s="12">
        <v>0</v>
      </c>
    </row>
    <row r="59" spans="2:9" ht="15" customHeight="1" x14ac:dyDescent="0.2">
      <c r="B59" t="s">
        <v>164</v>
      </c>
      <c r="C59" s="12">
        <v>39</v>
      </c>
      <c r="D59" s="8">
        <v>2.36</v>
      </c>
      <c r="E59" s="12">
        <v>32</v>
      </c>
      <c r="F59" s="8">
        <v>3.31</v>
      </c>
      <c r="G59" s="12">
        <v>7</v>
      </c>
      <c r="H59" s="8">
        <v>1.02</v>
      </c>
      <c r="I59" s="12">
        <v>0</v>
      </c>
    </row>
    <row r="60" spans="2:9" ht="15" customHeight="1" x14ac:dyDescent="0.2">
      <c r="B60" t="s">
        <v>159</v>
      </c>
      <c r="C60" s="12">
        <v>36</v>
      </c>
      <c r="D60" s="8">
        <v>2.1800000000000002</v>
      </c>
      <c r="E60" s="12">
        <v>3</v>
      </c>
      <c r="F60" s="8">
        <v>0.31</v>
      </c>
      <c r="G60" s="12">
        <v>33</v>
      </c>
      <c r="H60" s="8">
        <v>4.82</v>
      </c>
      <c r="I60" s="12">
        <v>0</v>
      </c>
    </row>
    <row r="61" spans="2:9" ht="15" customHeight="1" x14ac:dyDescent="0.2">
      <c r="B61" t="s">
        <v>158</v>
      </c>
      <c r="C61" s="12">
        <v>32</v>
      </c>
      <c r="D61" s="8">
        <v>1.94</v>
      </c>
      <c r="E61" s="12">
        <v>12</v>
      </c>
      <c r="F61" s="8">
        <v>1.24</v>
      </c>
      <c r="G61" s="12">
        <v>20</v>
      </c>
      <c r="H61" s="8">
        <v>2.92</v>
      </c>
      <c r="I61" s="12">
        <v>0</v>
      </c>
    </row>
    <row r="62" spans="2:9" ht="15" customHeight="1" x14ac:dyDescent="0.2">
      <c r="B62" t="s">
        <v>155</v>
      </c>
      <c r="C62" s="12">
        <v>31</v>
      </c>
      <c r="D62" s="8">
        <v>1.88</v>
      </c>
      <c r="E62" s="12">
        <v>14</v>
      </c>
      <c r="F62" s="8">
        <v>1.45</v>
      </c>
      <c r="G62" s="12">
        <v>17</v>
      </c>
      <c r="H62" s="8">
        <v>2.4900000000000002</v>
      </c>
      <c r="I62" s="12">
        <v>0</v>
      </c>
    </row>
    <row r="63" spans="2:9" ht="15" customHeight="1" x14ac:dyDescent="0.2">
      <c r="B63" t="s">
        <v>152</v>
      </c>
      <c r="C63" s="12">
        <v>30</v>
      </c>
      <c r="D63" s="8">
        <v>1.82</v>
      </c>
      <c r="E63" s="12">
        <v>8</v>
      </c>
      <c r="F63" s="8">
        <v>0.83</v>
      </c>
      <c r="G63" s="12">
        <v>22</v>
      </c>
      <c r="H63" s="8">
        <v>3.22</v>
      </c>
      <c r="I63" s="12">
        <v>0</v>
      </c>
    </row>
    <row r="64" spans="2:9" ht="15" customHeight="1" x14ac:dyDescent="0.2">
      <c r="B64" t="s">
        <v>166</v>
      </c>
      <c r="C64" s="12">
        <v>30</v>
      </c>
      <c r="D64" s="8">
        <v>1.82</v>
      </c>
      <c r="E64" s="12">
        <v>28</v>
      </c>
      <c r="F64" s="8">
        <v>2.9</v>
      </c>
      <c r="G64" s="12">
        <v>2</v>
      </c>
      <c r="H64" s="8">
        <v>0.28999999999999998</v>
      </c>
      <c r="I64" s="12">
        <v>0</v>
      </c>
    </row>
    <row r="65" spans="2:9" ht="15" customHeight="1" x14ac:dyDescent="0.2">
      <c r="B65" t="s">
        <v>156</v>
      </c>
      <c r="C65" s="12">
        <v>29</v>
      </c>
      <c r="D65" s="8">
        <v>1.76</v>
      </c>
      <c r="E65" s="12">
        <v>20</v>
      </c>
      <c r="F65" s="8">
        <v>2.0699999999999998</v>
      </c>
      <c r="G65" s="12">
        <v>9</v>
      </c>
      <c r="H65" s="8">
        <v>1.32</v>
      </c>
      <c r="I65" s="12">
        <v>0</v>
      </c>
    </row>
    <row r="66" spans="2:9" ht="15" customHeight="1" x14ac:dyDescent="0.2">
      <c r="B66" t="s">
        <v>162</v>
      </c>
      <c r="C66" s="12">
        <v>27</v>
      </c>
      <c r="D66" s="8">
        <v>1.63</v>
      </c>
      <c r="E66" s="12">
        <v>4</v>
      </c>
      <c r="F66" s="8">
        <v>0.41</v>
      </c>
      <c r="G66" s="12">
        <v>23</v>
      </c>
      <c r="H66" s="8">
        <v>3.36</v>
      </c>
      <c r="I66" s="12">
        <v>0</v>
      </c>
    </row>
    <row r="67" spans="2:9" ht="15" customHeight="1" x14ac:dyDescent="0.2">
      <c r="B67" t="s">
        <v>215</v>
      </c>
      <c r="C67" s="12">
        <v>24</v>
      </c>
      <c r="D67" s="8">
        <v>1.45</v>
      </c>
      <c r="E67" s="12">
        <v>15</v>
      </c>
      <c r="F67" s="8">
        <v>1.55</v>
      </c>
      <c r="G67" s="12">
        <v>9</v>
      </c>
      <c r="H67" s="8">
        <v>1.32</v>
      </c>
      <c r="I67" s="12">
        <v>0</v>
      </c>
    </row>
    <row r="68" spans="2:9" ht="15" customHeight="1" x14ac:dyDescent="0.2">
      <c r="B68" t="s">
        <v>210</v>
      </c>
      <c r="C68" s="12">
        <v>23</v>
      </c>
      <c r="D68" s="8">
        <v>1.39</v>
      </c>
      <c r="E68" s="12">
        <v>10</v>
      </c>
      <c r="F68" s="8">
        <v>1.04</v>
      </c>
      <c r="G68" s="12">
        <v>13</v>
      </c>
      <c r="H68" s="8">
        <v>1.9</v>
      </c>
      <c r="I68" s="12">
        <v>0</v>
      </c>
    </row>
    <row r="69" spans="2:9" ht="15" customHeight="1" x14ac:dyDescent="0.2">
      <c r="B69" t="s">
        <v>181</v>
      </c>
      <c r="C69" s="12">
        <v>21</v>
      </c>
      <c r="D69" s="8">
        <v>1.27</v>
      </c>
      <c r="E69" s="12">
        <v>20</v>
      </c>
      <c r="F69" s="8">
        <v>2.0699999999999998</v>
      </c>
      <c r="G69" s="12">
        <v>1</v>
      </c>
      <c r="H69" s="8">
        <v>0.15</v>
      </c>
      <c r="I69" s="12">
        <v>0</v>
      </c>
    </row>
    <row r="70" spans="2:9" ht="15" customHeight="1" x14ac:dyDescent="0.2">
      <c r="B70" t="s">
        <v>176</v>
      </c>
      <c r="C70" s="12">
        <v>21</v>
      </c>
      <c r="D70" s="8">
        <v>1.27</v>
      </c>
      <c r="E70" s="12">
        <v>8</v>
      </c>
      <c r="F70" s="8">
        <v>0.83</v>
      </c>
      <c r="G70" s="12">
        <v>13</v>
      </c>
      <c r="H70" s="8">
        <v>1.9</v>
      </c>
      <c r="I70" s="12">
        <v>0</v>
      </c>
    </row>
    <row r="72" spans="2:9" ht="15" customHeight="1" x14ac:dyDescent="0.2">
      <c r="B72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27BB0-761B-4FFD-974A-6A17FA604040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333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1490</v>
      </c>
      <c r="D6" s="8">
        <v>10.11</v>
      </c>
      <c r="E6" s="12">
        <v>329</v>
      </c>
      <c r="F6" s="8">
        <v>4.6500000000000004</v>
      </c>
      <c r="G6" s="12">
        <v>1160</v>
      </c>
      <c r="H6" s="8">
        <v>15.15</v>
      </c>
      <c r="I6" s="12">
        <v>1</v>
      </c>
    </row>
    <row r="7" spans="2:9" ht="15" customHeight="1" x14ac:dyDescent="0.2">
      <c r="B7" t="s">
        <v>77</v>
      </c>
      <c r="C7" s="12">
        <v>3917</v>
      </c>
      <c r="D7" s="8">
        <v>26.57</v>
      </c>
      <c r="E7" s="12">
        <v>1618</v>
      </c>
      <c r="F7" s="8">
        <v>22.88</v>
      </c>
      <c r="G7" s="12">
        <v>2299</v>
      </c>
      <c r="H7" s="8">
        <v>30.03</v>
      </c>
      <c r="I7" s="12">
        <v>0</v>
      </c>
    </row>
    <row r="8" spans="2:9" ht="15" customHeight="1" x14ac:dyDescent="0.2">
      <c r="B8" t="s">
        <v>78</v>
      </c>
      <c r="C8" s="12">
        <v>4</v>
      </c>
      <c r="D8" s="8">
        <v>0.03</v>
      </c>
      <c r="E8" s="12">
        <v>0</v>
      </c>
      <c r="F8" s="8">
        <v>0</v>
      </c>
      <c r="G8" s="12">
        <v>4</v>
      </c>
      <c r="H8" s="8">
        <v>0.05</v>
      </c>
      <c r="I8" s="12">
        <v>0</v>
      </c>
    </row>
    <row r="9" spans="2:9" ht="15" customHeight="1" x14ac:dyDescent="0.2">
      <c r="B9" t="s">
        <v>79</v>
      </c>
      <c r="C9" s="12">
        <v>92</v>
      </c>
      <c r="D9" s="8">
        <v>0.62</v>
      </c>
      <c r="E9" s="12">
        <v>7</v>
      </c>
      <c r="F9" s="8">
        <v>0.1</v>
      </c>
      <c r="G9" s="12">
        <v>85</v>
      </c>
      <c r="H9" s="8">
        <v>1.1100000000000001</v>
      </c>
      <c r="I9" s="12">
        <v>0</v>
      </c>
    </row>
    <row r="10" spans="2:9" ht="15" customHeight="1" x14ac:dyDescent="0.2">
      <c r="B10" t="s">
        <v>80</v>
      </c>
      <c r="C10" s="12">
        <v>226</v>
      </c>
      <c r="D10" s="8">
        <v>1.53</v>
      </c>
      <c r="E10" s="12">
        <v>74</v>
      </c>
      <c r="F10" s="8">
        <v>1.05</v>
      </c>
      <c r="G10" s="12">
        <v>151</v>
      </c>
      <c r="H10" s="8">
        <v>1.97</v>
      </c>
      <c r="I10" s="12">
        <v>1</v>
      </c>
    </row>
    <row r="11" spans="2:9" ht="15" customHeight="1" x14ac:dyDescent="0.2">
      <c r="B11" t="s">
        <v>81</v>
      </c>
      <c r="C11" s="12">
        <v>2821</v>
      </c>
      <c r="D11" s="8">
        <v>19.14</v>
      </c>
      <c r="E11" s="12">
        <v>1408</v>
      </c>
      <c r="F11" s="8">
        <v>19.91</v>
      </c>
      <c r="G11" s="12">
        <v>1413</v>
      </c>
      <c r="H11" s="8">
        <v>18.46</v>
      </c>
      <c r="I11" s="12">
        <v>0</v>
      </c>
    </row>
    <row r="12" spans="2:9" ht="15" customHeight="1" x14ac:dyDescent="0.2">
      <c r="B12" t="s">
        <v>82</v>
      </c>
      <c r="C12" s="12">
        <v>71</v>
      </c>
      <c r="D12" s="8">
        <v>0.48</v>
      </c>
      <c r="E12" s="12">
        <v>12</v>
      </c>
      <c r="F12" s="8">
        <v>0.17</v>
      </c>
      <c r="G12" s="12">
        <v>59</v>
      </c>
      <c r="H12" s="8">
        <v>0.77</v>
      </c>
      <c r="I12" s="12">
        <v>0</v>
      </c>
    </row>
    <row r="13" spans="2:9" ht="15" customHeight="1" x14ac:dyDescent="0.2">
      <c r="B13" t="s">
        <v>83</v>
      </c>
      <c r="C13" s="12">
        <v>1670</v>
      </c>
      <c r="D13" s="8">
        <v>11.33</v>
      </c>
      <c r="E13" s="12">
        <v>327</v>
      </c>
      <c r="F13" s="8">
        <v>4.62</v>
      </c>
      <c r="G13" s="12">
        <v>1339</v>
      </c>
      <c r="H13" s="8">
        <v>17.489999999999998</v>
      </c>
      <c r="I13" s="12">
        <v>4</v>
      </c>
    </row>
    <row r="14" spans="2:9" ht="15" customHeight="1" x14ac:dyDescent="0.2">
      <c r="B14" t="s">
        <v>84</v>
      </c>
      <c r="C14" s="12">
        <v>449</v>
      </c>
      <c r="D14" s="8">
        <v>3.05</v>
      </c>
      <c r="E14" s="12">
        <v>227</v>
      </c>
      <c r="F14" s="8">
        <v>3.21</v>
      </c>
      <c r="G14" s="12">
        <v>222</v>
      </c>
      <c r="H14" s="8">
        <v>2.9</v>
      </c>
      <c r="I14" s="12">
        <v>0</v>
      </c>
    </row>
    <row r="15" spans="2:9" ht="15" customHeight="1" x14ac:dyDescent="0.2">
      <c r="B15" t="s">
        <v>85</v>
      </c>
      <c r="C15" s="12">
        <v>1414</v>
      </c>
      <c r="D15" s="8">
        <v>9.59</v>
      </c>
      <c r="E15" s="12">
        <v>1281</v>
      </c>
      <c r="F15" s="8">
        <v>18.11</v>
      </c>
      <c r="G15" s="12">
        <v>131</v>
      </c>
      <c r="H15" s="8">
        <v>1.71</v>
      </c>
      <c r="I15" s="12">
        <v>0</v>
      </c>
    </row>
    <row r="16" spans="2:9" ht="15" customHeight="1" x14ac:dyDescent="0.2">
      <c r="B16" t="s">
        <v>86</v>
      </c>
      <c r="C16" s="12">
        <v>1180</v>
      </c>
      <c r="D16" s="8">
        <v>8.01</v>
      </c>
      <c r="E16" s="12">
        <v>965</v>
      </c>
      <c r="F16" s="8">
        <v>13.64</v>
      </c>
      <c r="G16" s="12">
        <v>215</v>
      </c>
      <c r="H16" s="8">
        <v>2.81</v>
      </c>
      <c r="I16" s="12">
        <v>0</v>
      </c>
    </row>
    <row r="17" spans="2:9" ht="15" customHeight="1" x14ac:dyDescent="0.2">
      <c r="B17" t="s">
        <v>87</v>
      </c>
      <c r="C17" s="12">
        <v>350</v>
      </c>
      <c r="D17" s="8">
        <v>2.37</v>
      </c>
      <c r="E17" s="12">
        <v>274</v>
      </c>
      <c r="F17" s="8">
        <v>3.87</v>
      </c>
      <c r="G17" s="12">
        <v>75</v>
      </c>
      <c r="H17" s="8">
        <v>0.98</v>
      </c>
      <c r="I17" s="12">
        <v>0</v>
      </c>
    </row>
    <row r="18" spans="2:9" ht="15" customHeight="1" x14ac:dyDescent="0.2">
      <c r="B18" t="s">
        <v>88</v>
      </c>
      <c r="C18" s="12">
        <v>688</v>
      </c>
      <c r="D18" s="8">
        <v>4.67</v>
      </c>
      <c r="E18" s="12">
        <v>395</v>
      </c>
      <c r="F18" s="8">
        <v>5.58</v>
      </c>
      <c r="G18" s="12">
        <v>291</v>
      </c>
      <c r="H18" s="8">
        <v>3.8</v>
      </c>
      <c r="I18" s="12">
        <v>0</v>
      </c>
    </row>
    <row r="19" spans="2:9" ht="15" customHeight="1" x14ac:dyDescent="0.2">
      <c r="B19" t="s">
        <v>89</v>
      </c>
      <c r="C19" s="12">
        <v>368</v>
      </c>
      <c r="D19" s="8">
        <v>2.5</v>
      </c>
      <c r="E19" s="12">
        <v>156</v>
      </c>
      <c r="F19" s="8">
        <v>2.21</v>
      </c>
      <c r="G19" s="12">
        <v>211</v>
      </c>
      <c r="H19" s="8">
        <v>2.76</v>
      </c>
      <c r="I19" s="12">
        <v>1</v>
      </c>
    </row>
    <row r="20" spans="2:9" ht="15" customHeight="1" x14ac:dyDescent="0.2">
      <c r="B20" s="9" t="s">
        <v>271</v>
      </c>
      <c r="C20" s="12">
        <f>SUM(LTBL_27227[総数／事業所数])</f>
        <v>14740</v>
      </c>
      <c r="E20" s="12">
        <f>SUBTOTAL(109,LTBL_27227[個人／事業所数])</f>
        <v>7073</v>
      </c>
      <c r="G20" s="12">
        <f>SUBTOTAL(109,LTBL_27227[法人／事業所数])</f>
        <v>7655</v>
      </c>
      <c r="I20" s="12">
        <f>SUBTOTAL(109,LTBL_27227[法人以外の団体／事業所数])</f>
        <v>7</v>
      </c>
    </row>
    <row r="21" spans="2:9" ht="15" customHeight="1" x14ac:dyDescent="0.2">
      <c r="E21" s="11">
        <f>LTBL_27227[[#Totals],[個人／事業所数]]/LTBL_27227[[#Totals],[総数／事業所数]]</f>
        <v>0.4798507462686567</v>
      </c>
      <c r="G21" s="11">
        <f>LTBL_27227[[#Totals],[法人／事業所数]]/LTBL_27227[[#Totals],[総数／事業所数]]</f>
        <v>0.51933514246947088</v>
      </c>
      <c r="I21" s="11">
        <f>LTBL_27227[[#Totals],[法人以外の団体／事業所数]]/LTBL_27227[[#Totals],[総数／事業所数]]</f>
        <v>4.7489823609226593E-4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110</v>
      </c>
      <c r="C24" s="12">
        <v>1396</v>
      </c>
      <c r="D24" s="8">
        <v>9.4700000000000006</v>
      </c>
      <c r="E24" s="12">
        <v>264</v>
      </c>
      <c r="F24" s="8">
        <v>3.73</v>
      </c>
      <c r="G24" s="12">
        <v>1128</v>
      </c>
      <c r="H24" s="8">
        <v>14.74</v>
      </c>
      <c r="I24" s="12">
        <v>4</v>
      </c>
    </row>
    <row r="25" spans="2:9" ht="15" customHeight="1" x14ac:dyDescent="0.2">
      <c r="B25" t="s">
        <v>113</v>
      </c>
      <c r="C25" s="12">
        <v>1314</v>
      </c>
      <c r="D25" s="8">
        <v>8.91</v>
      </c>
      <c r="E25" s="12">
        <v>1233</v>
      </c>
      <c r="F25" s="8">
        <v>17.43</v>
      </c>
      <c r="G25" s="12">
        <v>81</v>
      </c>
      <c r="H25" s="8">
        <v>1.06</v>
      </c>
      <c r="I25" s="12">
        <v>0</v>
      </c>
    </row>
    <row r="26" spans="2:9" ht="15" customHeight="1" x14ac:dyDescent="0.2">
      <c r="B26" t="s">
        <v>101</v>
      </c>
      <c r="C26" s="12">
        <v>1146</v>
      </c>
      <c r="D26" s="8">
        <v>7.77</v>
      </c>
      <c r="E26" s="12">
        <v>513</v>
      </c>
      <c r="F26" s="8">
        <v>7.25</v>
      </c>
      <c r="G26" s="12">
        <v>633</v>
      </c>
      <c r="H26" s="8">
        <v>8.27</v>
      </c>
      <c r="I26" s="12">
        <v>0</v>
      </c>
    </row>
    <row r="27" spans="2:9" ht="15" customHeight="1" x14ac:dyDescent="0.2">
      <c r="B27" t="s">
        <v>114</v>
      </c>
      <c r="C27" s="12">
        <v>946</v>
      </c>
      <c r="D27" s="8">
        <v>6.42</v>
      </c>
      <c r="E27" s="12">
        <v>834</v>
      </c>
      <c r="F27" s="8">
        <v>11.79</v>
      </c>
      <c r="G27" s="12">
        <v>112</v>
      </c>
      <c r="H27" s="8">
        <v>1.46</v>
      </c>
      <c r="I27" s="12">
        <v>0</v>
      </c>
    </row>
    <row r="28" spans="2:9" ht="15" customHeight="1" x14ac:dyDescent="0.2">
      <c r="B28" t="s">
        <v>108</v>
      </c>
      <c r="C28" s="12">
        <v>630</v>
      </c>
      <c r="D28" s="8">
        <v>4.2699999999999996</v>
      </c>
      <c r="E28" s="12">
        <v>426</v>
      </c>
      <c r="F28" s="8">
        <v>6.02</v>
      </c>
      <c r="G28" s="12">
        <v>204</v>
      </c>
      <c r="H28" s="8">
        <v>2.66</v>
      </c>
      <c r="I28" s="12">
        <v>0</v>
      </c>
    </row>
    <row r="29" spans="2:9" ht="15" customHeight="1" x14ac:dyDescent="0.2">
      <c r="B29" t="s">
        <v>127</v>
      </c>
      <c r="C29" s="12">
        <v>558</v>
      </c>
      <c r="D29" s="8">
        <v>3.79</v>
      </c>
      <c r="E29" s="12">
        <v>213</v>
      </c>
      <c r="F29" s="8">
        <v>3.01</v>
      </c>
      <c r="G29" s="12">
        <v>345</v>
      </c>
      <c r="H29" s="8">
        <v>4.51</v>
      </c>
      <c r="I29" s="12">
        <v>0</v>
      </c>
    </row>
    <row r="30" spans="2:9" ht="15" customHeight="1" x14ac:dyDescent="0.2">
      <c r="B30" t="s">
        <v>98</v>
      </c>
      <c r="C30" s="12">
        <v>524</v>
      </c>
      <c r="D30" s="8">
        <v>3.55</v>
      </c>
      <c r="E30" s="12">
        <v>110</v>
      </c>
      <c r="F30" s="8">
        <v>1.56</v>
      </c>
      <c r="G30" s="12">
        <v>414</v>
      </c>
      <c r="H30" s="8">
        <v>5.41</v>
      </c>
      <c r="I30" s="12">
        <v>0</v>
      </c>
    </row>
    <row r="31" spans="2:9" ht="15" customHeight="1" x14ac:dyDescent="0.2">
      <c r="B31" t="s">
        <v>99</v>
      </c>
      <c r="C31" s="12">
        <v>484</v>
      </c>
      <c r="D31" s="8">
        <v>3.28</v>
      </c>
      <c r="E31" s="12">
        <v>132</v>
      </c>
      <c r="F31" s="8">
        <v>1.87</v>
      </c>
      <c r="G31" s="12">
        <v>351</v>
      </c>
      <c r="H31" s="8">
        <v>4.59</v>
      </c>
      <c r="I31" s="12">
        <v>1</v>
      </c>
    </row>
    <row r="32" spans="2:9" ht="15" customHeight="1" x14ac:dyDescent="0.2">
      <c r="B32" t="s">
        <v>100</v>
      </c>
      <c r="C32" s="12">
        <v>482</v>
      </c>
      <c r="D32" s="8">
        <v>3.27</v>
      </c>
      <c r="E32" s="12">
        <v>87</v>
      </c>
      <c r="F32" s="8">
        <v>1.23</v>
      </c>
      <c r="G32" s="12">
        <v>395</v>
      </c>
      <c r="H32" s="8">
        <v>5.16</v>
      </c>
      <c r="I32" s="12">
        <v>0</v>
      </c>
    </row>
    <row r="33" spans="2:9" ht="15" customHeight="1" x14ac:dyDescent="0.2">
      <c r="B33" t="s">
        <v>106</v>
      </c>
      <c r="C33" s="12">
        <v>477</v>
      </c>
      <c r="D33" s="8">
        <v>3.24</v>
      </c>
      <c r="E33" s="12">
        <v>384</v>
      </c>
      <c r="F33" s="8">
        <v>5.43</v>
      </c>
      <c r="G33" s="12">
        <v>93</v>
      </c>
      <c r="H33" s="8">
        <v>1.21</v>
      </c>
      <c r="I33" s="12">
        <v>0</v>
      </c>
    </row>
    <row r="34" spans="2:9" ht="15" customHeight="1" x14ac:dyDescent="0.2">
      <c r="B34" t="s">
        <v>116</v>
      </c>
      <c r="C34" s="12">
        <v>472</v>
      </c>
      <c r="D34" s="8">
        <v>3.2</v>
      </c>
      <c r="E34" s="12">
        <v>390</v>
      </c>
      <c r="F34" s="8">
        <v>5.51</v>
      </c>
      <c r="G34" s="12">
        <v>82</v>
      </c>
      <c r="H34" s="8">
        <v>1.07</v>
      </c>
      <c r="I34" s="12">
        <v>0</v>
      </c>
    </row>
    <row r="35" spans="2:9" ht="15" customHeight="1" x14ac:dyDescent="0.2">
      <c r="B35" t="s">
        <v>132</v>
      </c>
      <c r="C35" s="12">
        <v>366</v>
      </c>
      <c r="D35" s="8">
        <v>2.48</v>
      </c>
      <c r="E35" s="12">
        <v>155</v>
      </c>
      <c r="F35" s="8">
        <v>2.19</v>
      </c>
      <c r="G35" s="12">
        <v>211</v>
      </c>
      <c r="H35" s="8">
        <v>2.76</v>
      </c>
      <c r="I35" s="12">
        <v>0</v>
      </c>
    </row>
    <row r="36" spans="2:9" ht="15" customHeight="1" x14ac:dyDescent="0.2">
      <c r="B36" t="s">
        <v>115</v>
      </c>
      <c r="C36" s="12">
        <v>350</v>
      </c>
      <c r="D36" s="8">
        <v>2.37</v>
      </c>
      <c r="E36" s="12">
        <v>274</v>
      </c>
      <c r="F36" s="8">
        <v>3.87</v>
      </c>
      <c r="G36" s="12">
        <v>75</v>
      </c>
      <c r="H36" s="8">
        <v>0.98</v>
      </c>
      <c r="I36" s="12">
        <v>0</v>
      </c>
    </row>
    <row r="37" spans="2:9" ht="15" customHeight="1" x14ac:dyDescent="0.2">
      <c r="B37" t="s">
        <v>103</v>
      </c>
      <c r="C37" s="12">
        <v>313</v>
      </c>
      <c r="D37" s="8">
        <v>2.12</v>
      </c>
      <c r="E37" s="12">
        <v>42</v>
      </c>
      <c r="F37" s="8">
        <v>0.59</v>
      </c>
      <c r="G37" s="12">
        <v>271</v>
      </c>
      <c r="H37" s="8">
        <v>3.54</v>
      </c>
      <c r="I37" s="12">
        <v>0</v>
      </c>
    </row>
    <row r="38" spans="2:9" ht="15" customHeight="1" x14ac:dyDescent="0.2">
      <c r="B38" t="s">
        <v>107</v>
      </c>
      <c r="C38" s="12">
        <v>303</v>
      </c>
      <c r="D38" s="8">
        <v>2.06</v>
      </c>
      <c r="E38" s="12">
        <v>189</v>
      </c>
      <c r="F38" s="8">
        <v>2.67</v>
      </c>
      <c r="G38" s="12">
        <v>114</v>
      </c>
      <c r="H38" s="8">
        <v>1.49</v>
      </c>
      <c r="I38" s="12">
        <v>0</v>
      </c>
    </row>
    <row r="39" spans="2:9" ht="15" customHeight="1" x14ac:dyDescent="0.2">
      <c r="B39" t="s">
        <v>104</v>
      </c>
      <c r="C39" s="12">
        <v>285</v>
      </c>
      <c r="D39" s="8">
        <v>1.93</v>
      </c>
      <c r="E39" s="12">
        <v>50</v>
      </c>
      <c r="F39" s="8">
        <v>0.71</v>
      </c>
      <c r="G39" s="12">
        <v>235</v>
      </c>
      <c r="H39" s="8">
        <v>3.07</v>
      </c>
      <c r="I39" s="12">
        <v>0</v>
      </c>
    </row>
    <row r="40" spans="2:9" ht="15" customHeight="1" x14ac:dyDescent="0.2">
      <c r="B40" t="s">
        <v>111</v>
      </c>
      <c r="C40" s="12">
        <v>275</v>
      </c>
      <c r="D40" s="8">
        <v>1.87</v>
      </c>
      <c r="E40" s="12">
        <v>172</v>
      </c>
      <c r="F40" s="8">
        <v>2.4300000000000002</v>
      </c>
      <c r="G40" s="12">
        <v>103</v>
      </c>
      <c r="H40" s="8">
        <v>1.35</v>
      </c>
      <c r="I40" s="12">
        <v>0</v>
      </c>
    </row>
    <row r="41" spans="2:9" ht="15" customHeight="1" x14ac:dyDescent="0.2">
      <c r="B41" t="s">
        <v>105</v>
      </c>
      <c r="C41" s="12">
        <v>274</v>
      </c>
      <c r="D41" s="8">
        <v>1.86</v>
      </c>
      <c r="E41" s="12">
        <v>197</v>
      </c>
      <c r="F41" s="8">
        <v>2.79</v>
      </c>
      <c r="G41" s="12">
        <v>77</v>
      </c>
      <c r="H41" s="8">
        <v>1.01</v>
      </c>
      <c r="I41" s="12">
        <v>0</v>
      </c>
    </row>
    <row r="42" spans="2:9" ht="15" customHeight="1" x14ac:dyDescent="0.2">
      <c r="B42" t="s">
        <v>102</v>
      </c>
      <c r="C42" s="12">
        <v>259</v>
      </c>
      <c r="D42" s="8">
        <v>1.76</v>
      </c>
      <c r="E42" s="12">
        <v>59</v>
      </c>
      <c r="F42" s="8">
        <v>0.83</v>
      </c>
      <c r="G42" s="12">
        <v>200</v>
      </c>
      <c r="H42" s="8">
        <v>2.61</v>
      </c>
      <c r="I42" s="12">
        <v>0</v>
      </c>
    </row>
    <row r="43" spans="2:9" ht="15" customHeight="1" x14ac:dyDescent="0.2">
      <c r="B43" t="s">
        <v>121</v>
      </c>
      <c r="C43" s="12">
        <v>242</v>
      </c>
      <c r="D43" s="8">
        <v>1.64</v>
      </c>
      <c r="E43" s="12">
        <v>91</v>
      </c>
      <c r="F43" s="8">
        <v>1.29</v>
      </c>
      <c r="G43" s="12">
        <v>151</v>
      </c>
      <c r="H43" s="8">
        <v>1.97</v>
      </c>
      <c r="I43" s="12">
        <v>0</v>
      </c>
    </row>
    <row r="46" spans="2:9" ht="33" customHeight="1" x14ac:dyDescent="0.2">
      <c r="B46" t="s">
        <v>273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160</v>
      </c>
      <c r="C47" s="12">
        <v>608</v>
      </c>
      <c r="D47" s="8">
        <v>4.12</v>
      </c>
      <c r="E47" s="12">
        <v>136</v>
      </c>
      <c r="F47" s="8">
        <v>1.92</v>
      </c>
      <c r="G47" s="12">
        <v>471</v>
      </c>
      <c r="H47" s="8">
        <v>6.15</v>
      </c>
      <c r="I47" s="12">
        <v>1</v>
      </c>
    </row>
    <row r="48" spans="2:9" ht="15" customHeight="1" x14ac:dyDescent="0.2">
      <c r="B48" t="s">
        <v>169</v>
      </c>
      <c r="C48" s="12">
        <v>470</v>
      </c>
      <c r="D48" s="8">
        <v>3.19</v>
      </c>
      <c r="E48" s="12">
        <v>424</v>
      </c>
      <c r="F48" s="8">
        <v>5.99</v>
      </c>
      <c r="G48" s="12">
        <v>46</v>
      </c>
      <c r="H48" s="8">
        <v>0.6</v>
      </c>
      <c r="I48" s="12">
        <v>0</v>
      </c>
    </row>
    <row r="49" spans="2:9" ht="15" customHeight="1" x14ac:dyDescent="0.2">
      <c r="B49" t="s">
        <v>159</v>
      </c>
      <c r="C49" s="12">
        <v>405</v>
      </c>
      <c r="D49" s="8">
        <v>2.75</v>
      </c>
      <c r="E49" s="12">
        <v>18</v>
      </c>
      <c r="F49" s="8">
        <v>0.25</v>
      </c>
      <c r="G49" s="12">
        <v>387</v>
      </c>
      <c r="H49" s="8">
        <v>5.0599999999999996</v>
      </c>
      <c r="I49" s="12">
        <v>0</v>
      </c>
    </row>
    <row r="50" spans="2:9" ht="15" customHeight="1" x14ac:dyDescent="0.2">
      <c r="B50" t="s">
        <v>171</v>
      </c>
      <c r="C50" s="12">
        <v>343</v>
      </c>
      <c r="D50" s="8">
        <v>2.33</v>
      </c>
      <c r="E50" s="12">
        <v>289</v>
      </c>
      <c r="F50" s="8">
        <v>4.09</v>
      </c>
      <c r="G50" s="12">
        <v>54</v>
      </c>
      <c r="H50" s="8">
        <v>0.71</v>
      </c>
      <c r="I50" s="12">
        <v>0</v>
      </c>
    </row>
    <row r="51" spans="2:9" ht="15" customHeight="1" x14ac:dyDescent="0.2">
      <c r="B51" t="s">
        <v>167</v>
      </c>
      <c r="C51" s="12">
        <v>333</v>
      </c>
      <c r="D51" s="8">
        <v>2.2599999999999998</v>
      </c>
      <c r="E51" s="12">
        <v>316</v>
      </c>
      <c r="F51" s="8">
        <v>4.47</v>
      </c>
      <c r="G51" s="12">
        <v>17</v>
      </c>
      <c r="H51" s="8">
        <v>0.22</v>
      </c>
      <c r="I51" s="12">
        <v>0</v>
      </c>
    </row>
    <row r="52" spans="2:9" ht="15" customHeight="1" x14ac:dyDescent="0.2">
      <c r="B52" t="s">
        <v>165</v>
      </c>
      <c r="C52" s="12">
        <v>290</v>
      </c>
      <c r="D52" s="8">
        <v>1.97</v>
      </c>
      <c r="E52" s="12">
        <v>276</v>
      </c>
      <c r="F52" s="8">
        <v>3.9</v>
      </c>
      <c r="G52" s="12">
        <v>14</v>
      </c>
      <c r="H52" s="8">
        <v>0.18</v>
      </c>
      <c r="I52" s="12">
        <v>0</v>
      </c>
    </row>
    <row r="53" spans="2:9" ht="15" customHeight="1" x14ac:dyDescent="0.2">
      <c r="B53" t="s">
        <v>168</v>
      </c>
      <c r="C53" s="12">
        <v>281</v>
      </c>
      <c r="D53" s="8">
        <v>1.91</v>
      </c>
      <c r="E53" s="12">
        <v>272</v>
      </c>
      <c r="F53" s="8">
        <v>3.85</v>
      </c>
      <c r="G53" s="12">
        <v>9</v>
      </c>
      <c r="H53" s="8">
        <v>0.12</v>
      </c>
      <c r="I53" s="12">
        <v>0</v>
      </c>
    </row>
    <row r="54" spans="2:9" ht="15" customHeight="1" x14ac:dyDescent="0.2">
      <c r="B54" t="s">
        <v>192</v>
      </c>
      <c r="C54" s="12">
        <v>257</v>
      </c>
      <c r="D54" s="8">
        <v>1.74</v>
      </c>
      <c r="E54" s="12">
        <v>105</v>
      </c>
      <c r="F54" s="8">
        <v>1.48</v>
      </c>
      <c r="G54" s="12">
        <v>152</v>
      </c>
      <c r="H54" s="8">
        <v>1.99</v>
      </c>
      <c r="I54" s="12">
        <v>0</v>
      </c>
    </row>
    <row r="55" spans="2:9" ht="15" customHeight="1" x14ac:dyDescent="0.2">
      <c r="B55" t="s">
        <v>170</v>
      </c>
      <c r="C55" s="12">
        <v>241</v>
      </c>
      <c r="D55" s="8">
        <v>1.64</v>
      </c>
      <c r="E55" s="12">
        <v>204</v>
      </c>
      <c r="F55" s="8">
        <v>2.88</v>
      </c>
      <c r="G55" s="12">
        <v>37</v>
      </c>
      <c r="H55" s="8">
        <v>0.48</v>
      </c>
      <c r="I55" s="12">
        <v>0</v>
      </c>
    </row>
    <row r="56" spans="2:9" ht="15" customHeight="1" x14ac:dyDescent="0.2">
      <c r="B56" t="s">
        <v>157</v>
      </c>
      <c r="C56" s="12">
        <v>234</v>
      </c>
      <c r="D56" s="8">
        <v>1.59</v>
      </c>
      <c r="E56" s="12">
        <v>181</v>
      </c>
      <c r="F56" s="8">
        <v>2.56</v>
      </c>
      <c r="G56" s="12">
        <v>53</v>
      </c>
      <c r="H56" s="8">
        <v>0.69</v>
      </c>
      <c r="I56" s="12">
        <v>0</v>
      </c>
    </row>
    <row r="57" spans="2:9" ht="15" customHeight="1" x14ac:dyDescent="0.2">
      <c r="B57" t="s">
        <v>202</v>
      </c>
      <c r="C57" s="12">
        <v>228</v>
      </c>
      <c r="D57" s="8">
        <v>1.55</v>
      </c>
      <c r="E57" s="12">
        <v>100</v>
      </c>
      <c r="F57" s="8">
        <v>1.41</v>
      </c>
      <c r="G57" s="12">
        <v>128</v>
      </c>
      <c r="H57" s="8">
        <v>1.67</v>
      </c>
      <c r="I57" s="12">
        <v>0</v>
      </c>
    </row>
    <row r="58" spans="2:9" ht="15" customHeight="1" x14ac:dyDescent="0.2">
      <c r="B58" t="s">
        <v>204</v>
      </c>
      <c r="C58" s="12">
        <v>228</v>
      </c>
      <c r="D58" s="8">
        <v>1.55</v>
      </c>
      <c r="E58" s="12">
        <v>88</v>
      </c>
      <c r="F58" s="8">
        <v>1.24</v>
      </c>
      <c r="G58" s="12">
        <v>140</v>
      </c>
      <c r="H58" s="8">
        <v>1.83</v>
      </c>
      <c r="I58" s="12">
        <v>0</v>
      </c>
    </row>
    <row r="59" spans="2:9" ht="15" customHeight="1" x14ac:dyDescent="0.2">
      <c r="B59" t="s">
        <v>164</v>
      </c>
      <c r="C59" s="12">
        <v>228</v>
      </c>
      <c r="D59" s="8">
        <v>1.55</v>
      </c>
      <c r="E59" s="12">
        <v>210</v>
      </c>
      <c r="F59" s="8">
        <v>2.97</v>
      </c>
      <c r="G59" s="12">
        <v>18</v>
      </c>
      <c r="H59" s="8">
        <v>0.24</v>
      </c>
      <c r="I59" s="12">
        <v>0</v>
      </c>
    </row>
    <row r="60" spans="2:9" ht="15" customHeight="1" x14ac:dyDescent="0.2">
      <c r="B60" t="s">
        <v>162</v>
      </c>
      <c r="C60" s="12">
        <v>204</v>
      </c>
      <c r="D60" s="8">
        <v>1.38</v>
      </c>
      <c r="E60" s="12">
        <v>20</v>
      </c>
      <c r="F60" s="8">
        <v>0.28000000000000003</v>
      </c>
      <c r="G60" s="12">
        <v>182</v>
      </c>
      <c r="H60" s="8">
        <v>2.38</v>
      </c>
      <c r="I60" s="12">
        <v>2</v>
      </c>
    </row>
    <row r="61" spans="2:9" ht="15" customHeight="1" x14ac:dyDescent="0.2">
      <c r="B61" t="s">
        <v>232</v>
      </c>
      <c r="C61" s="12">
        <v>198</v>
      </c>
      <c r="D61" s="8">
        <v>1.34</v>
      </c>
      <c r="E61" s="12">
        <v>78</v>
      </c>
      <c r="F61" s="8">
        <v>1.1000000000000001</v>
      </c>
      <c r="G61" s="12">
        <v>120</v>
      </c>
      <c r="H61" s="8">
        <v>1.57</v>
      </c>
      <c r="I61" s="12">
        <v>0</v>
      </c>
    </row>
    <row r="62" spans="2:9" ht="15" customHeight="1" x14ac:dyDescent="0.2">
      <c r="B62" t="s">
        <v>153</v>
      </c>
      <c r="C62" s="12">
        <v>189</v>
      </c>
      <c r="D62" s="8">
        <v>1.28</v>
      </c>
      <c r="E62" s="12">
        <v>43</v>
      </c>
      <c r="F62" s="8">
        <v>0.61</v>
      </c>
      <c r="G62" s="12">
        <v>146</v>
      </c>
      <c r="H62" s="8">
        <v>1.91</v>
      </c>
      <c r="I62" s="12">
        <v>0</v>
      </c>
    </row>
    <row r="63" spans="2:9" ht="15" customHeight="1" x14ac:dyDescent="0.2">
      <c r="B63" t="s">
        <v>175</v>
      </c>
      <c r="C63" s="12">
        <v>189</v>
      </c>
      <c r="D63" s="8">
        <v>1.28</v>
      </c>
      <c r="E63" s="12">
        <v>75</v>
      </c>
      <c r="F63" s="8">
        <v>1.06</v>
      </c>
      <c r="G63" s="12">
        <v>114</v>
      </c>
      <c r="H63" s="8">
        <v>1.49</v>
      </c>
      <c r="I63" s="12">
        <v>0</v>
      </c>
    </row>
    <row r="64" spans="2:9" ht="15" customHeight="1" x14ac:dyDescent="0.2">
      <c r="B64" t="s">
        <v>179</v>
      </c>
      <c r="C64" s="12">
        <v>183</v>
      </c>
      <c r="D64" s="8">
        <v>1.24</v>
      </c>
      <c r="E64" s="12">
        <v>31</v>
      </c>
      <c r="F64" s="8">
        <v>0.44</v>
      </c>
      <c r="G64" s="12">
        <v>152</v>
      </c>
      <c r="H64" s="8">
        <v>1.99</v>
      </c>
      <c r="I64" s="12">
        <v>0</v>
      </c>
    </row>
    <row r="65" spans="2:9" ht="15" customHeight="1" x14ac:dyDescent="0.2">
      <c r="B65" t="s">
        <v>166</v>
      </c>
      <c r="C65" s="12">
        <v>180</v>
      </c>
      <c r="D65" s="8">
        <v>1.22</v>
      </c>
      <c r="E65" s="12">
        <v>176</v>
      </c>
      <c r="F65" s="8">
        <v>2.4900000000000002</v>
      </c>
      <c r="G65" s="12">
        <v>4</v>
      </c>
      <c r="H65" s="8">
        <v>0.05</v>
      </c>
      <c r="I65" s="12">
        <v>0</v>
      </c>
    </row>
    <row r="66" spans="2:9" ht="15" customHeight="1" x14ac:dyDescent="0.2">
      <c r="B66" t="s">
        <v>161</v>
      </c>
      <c r="C66" s="12">
        <v>179</v>
      </c>
      <c r="D66" s="8">
        <v>1.21</v>
      </c>
      <c r="E66" s="12">
        <v>90</v>
      </c>
      <c r="F66" s="8">
        <v>1.27</v>
      </c>
      <c r="G66" s="12">
        <v>88</v>
      </c>
      <c r="H66" s="8">
        <v>1.1499999999999999</v>
      </c>
      <c r="I66" s="12">
        <v>1</v>
      </c>
    </row>
    <row r="68" spans="2:9" ht="15" customHeight="1" x14ac:dyDescent="0.2">
      <c r="B68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8AFA5-FCFD-4E2F-8584-EB5EABD5A7B3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334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146</v>
      </c>
      <c r="D6" s="8">
        <v>13.38</v>
      </c>
      <c r="E6" s="12">
        <v>43</v>
      </c>
      <c r="F6" s="8">
        <v>6.96</v>
      </c>
      <c r="G6" s="12">
        <v>103</v>
      </c>
      <c r="H6" s="8">
        <v>22.49</v>
      </c>
      <c r="I6" s="12">
        <v>0</v>
      </c>
    </row>
    <row r="7" spans="2:9" ht="15" customHeight="1" x14ac:dyDescent="0.2">
      <c r="B7" t="s">
        <v>77</v>
      </c>
      <c r="C7" s="12">
        <v>131</v>
      </c>
      <c r="D7" s="8">
        <v>12.01</v>
      </c>
      <c r="E7" s="12">
        <v>54</v>
      </c>
      <c r="F7" s="8">
        <v>8.74</v>
      </c>
      <c r="G7" s="12">
        <v>77</v>
      </c>
      <c r="H7" s="8">
        <v>16.809999999999999</v>
      </c>
      <c r="I7" s="12">
        <v>0</v>
      </c>
    </row>
    <row r="8" spans="2:9" ht="15" customHeight="1" x14ac:dyDescent="0.2">
      <c r="B8" t="s">
        <v>78</v>
      </c>
      <c r="C8" s="12">
        <v>3</v>
      </c>
      <c r="D8" s="8">
        <v>0.27</v>
      </c>
      <c r="E8" s="12">
        <v>0</v>
      </c>
      <c r="F8" s="8">
        <v>0</v>
      </c>
      <c r="G8" s="12">
        <v>3</v>
      </c>
      <c r="H8" s="8">
        <v>0.66</v>
      </c>
      <c r="I8" s="12">
        <v>0</v>
      </c>
    </row>
    <row r="9" spans="2:9" ht="15" customHeight="1" x14ac:dyDescent="0.2">
      <c r="B9" t="s">
        <v>79</v>
      </c>
      <c r="C9" s="12">
        <v>5</v>
      </c>
      <c r="D9" s="8">
        <v>0.46</v>
      </c>
      <c r="E9" s="12">
        <v>0</v>
      </c>
      <c r="F9" s="8">
        <v>0</v>
      </c>
      <c r="G9" s="12">
        <v>5</v>
      </c>
      <c r="H9" s="8">
        <v>1.0900000000000001</v>
      </c>
      <c r="I9" s="12">
        <v>0</v>
      </c>
    </row>
    <row r="10" spans="2:9" ht="15" customHeight="1" x14ac:dyDescent="0.2">
      <c r="B10" t="s">
        <v>80</v>
      </c>
      <c r="C10" s="12">
        <v>30</v>
      </c>
      <c r="D10" s="8">
        <v>2.75</v>
      </c>
      <c r="E10" s="12">
        <v>0</v>
      </c>
      <c r="F10" s="8">
        <v>0</v>
      </c>
      <c r="G10" s="12">
        <v>30</v>
      </c>
      <c r="H10" s="8">
        <v>6.55</v>
      </c>
      <c r="I10" s="12">
        <v>0</v>
      </c>
    </row>
    <row r="11" spans="2:9" ht="15" customHeight="1" x14ac:dyDescent="0.2">
      <c r="B11" t="s">
        <v>81</v>
      </c>
      <c r="C11" s="12">
        <v>261</v>
      </c>
      <c r="D11" s="8">
        <v>23.92</v>
      </c>
      <c r="E11" s="12">
        <v>157</v>
      </c>
      <c r="F11" s="8">
        <v>25.4</v>
      </c>
      <c r="G11" s="12">
        <v>104</v>
      </c>
      <c r="H11" s="8">
        <v>22.71</v>
      </c>
      <c r="I11" s="12">
        <v>0</v>
      </c>
    </row>
    <row r="12" spans="2:9" ht="15" customHeight="1" x14ac:dyDescent="0.2">
      <c r="B12" t="s">
        <v>82</v>
      </c>
      <c r="C12" s="12">
        <v>5</v>
      </c>
      <c r="D12" s="8">
        <v>0.46</v>
      </c>
      <c r="E12" s="12">
        <v>2</v>
      </c>
      <c r="F12" s="8">
        <v>0.32</v>
      </c>
      <c r="G12" s="12">
        <v>3</v>
      </c>
      <c r="H12" s="8">
        <v>0.66</v>
      </c>
      <c r="I12" s="12">
        <v>0</v>
      </c>
    </row>
    <row r="13" spans="2:9" ht="15" customHeight="1" x14ac:dyDescent="0.2">
      <c r="B13" t="s">
        <v>83</v>
      </c>
      <c r="C13" s="12">
        <v>115</v>
      </c>
      <c r="D13" s="8">
        <v>10.54</v>
      </c>
      <c r="E13" s="12">
        <v>63</v>
      </c>
      <c r="F13" s="8">
        <v>10.19</v>
      </c>
      <c r="G13" s="12">
        <v>51</v>
      </c>
      <c r="H13" s="8">
        <v>11.14</v>
      </c>
      <c r="I13" s="12">
        <v>1</v>
      </c>
    </row>
    <row r="14" spans="2:9" ht="15" customHeight="1" x14ac:dyDescent="0.2">
      <c r="B14" t="s">
        <v>84</v>
      </c>
      <c r="C14" s="12">
        <v>29</v>
      </c>
      <c r="D14" s="8">
        <v>2.66</v>
      </c>
      <c r="E14" s="12">
        <v>19</v>
      </c>
      <c r="F14" s="8">
        <v>3.07</v>
      </c>
      <c r="G14" s="12">
        <v>10</v>
      </c>
      <c r="H14" s="8">
        <v>2.1800000000000002</v>
      </c>
      <c r="I14" s="12">
        <v>0</v>
      </c>
    </row>
    <row r="15" spans="2:9" ht="15" customHeight="1" x14ac:dyDescent="0.2">
      <c r="B15" t="s">
        <v>85</v>
      </c>
      <c r="C15" s="12">
        <v>92</v>
      </c>
      <c r="D15" s="8">
        <v>8.43</v>
      </c>
      <c r="E15" s="12">
        <v>82</v>
      </c>
      <c r="F15" s="8">
        <v>13.27</v>
      </c>
      <c r="G15" s="12">
        <v>10</v>
      </c>
      <c r="H15" s="8">
        <v>2.1800000000000002</v>
      </c>
      <c r="I15" s="12">
        <v>0</v>
      </c>
    </row>
    <row r="16" spans="2:9" ht="15" customHeight="1" x14ac:dyDescent="0.2">
      <c r="B16" t="s">
        <v>86</v>
      </c>
      <c r="C16" s="12">
        <v>128</v>
      </c>
      <c r="D16" s="8">
        <v>11.73</v>
      </c>
      <c r="E16" s="12">
        <v>111</v>
      </c>
      <c r="F16" s="8">
        <v>17.96</v>
      </c>
      <c r="G16" s="12">
        <v>17</v>
      </c>
      <c r="H16" s="8">
        <v>3.71</v>
      </c>
      <c r="I16" s="12">
        <v>0</v>
      </c>
    </row>
    <row r="17" spans="2:9" ht="15" customHeight="1" x14ac:dyDescent="0.2">
      <c r="B17" t="s">
        <v>87</v>
      </c>
      <c r="C17" s="12">
        <v>44</v>
      </c>
      <c r="D17" s="8">
        <v>4.03</v>
      </c>
      <c r="E17" s="12">
        <v>34</v>
      </c>
      <c r="F17" s="8">
        <v>5.5</v>
      </c>
      <c r="G17" s="12">
        <v>6</v>
      </c>
      <c r="H17" s="8">
        <v>1.31</v>
      </c>
      <c r="I17" s="12">
        <v>0</v>
      </c>
    </row>
    <row r="18" spans="2:9" ht="15" customHeight="1" x14ac:dyDescent="0.2">
      <c r="B18" t="s">
        <v>88</v>
      </c>
      <c r="C18" s="12">
        <v>67</v>
      </c>
      <c r="D18" s="8">
        <v>6.14</v>
      </c>
      <c r="E18" s="12">
        <v>35</v>
      </c>
      <c r="F18" s="8">
        <v>5.66</v>
      </c>
      <c r="G18" s="12">
        <v>24</v>
      </c>
      <c r="H18" s="8">
        <v>5.24</v>
      </c>
      <c r="I18" s="12">
        <v>0</v>
      </c>
    </row>
    <row r="19" spans="2:9" ht="15" customHeight="1" x14ac:dyDescent="0.2">
      <c r="B19" t="s">
        <v>89</v>
      </c>
      <c r="C19" s="12">
        <v>35</v>
      </c>
      <c r="D19" s="8">
        <v>3.21</v>
      </c>
      <c r="E19" s="12">
        <v>18</v>
      </c>
      <c r="F19" s="8">
        <v>2.91</v>
      </c>
      <c r="G19" s="12">
        <v>15</v>
      </c>
      <c r="H19" s="8">
        <v>3.28</v>
      </c>
      <c r="I19" s="12">
        <v>1</v>
      </c>
    </row>
    <row r="20" spans="2:9" ht="15" customHeight="1" x14ac:dyDescent="0.2">
      <c r="B20" s="9" t="s">
        <v>271</v>
      </c>
      <c r="C20" s="12">
        <f>SUM(LTBL_27228[総数／事業所数])</f>
        <v>1091</v>
      </c>
      <c r="E20" s="12">
        <f>SUBTOTAL(109,LTBL_27228[個人／事業所数])</f>
        <v>618</v>
      </c>
      <c r="G20" s="12">
        <f>SUBTOTAL(109,LTBL_27228[法人／事業所数])</f>
        <v>458</v>
      </c>
      <c r="I20" s="12">
        <f>SUBTOTAL(109,LTBL_27228[法人以外の団体／事業所数])</f>
        <v>2</v>
      </c>
    </row>
    <row r="21" spans="2:9" ht="15" customHeight="1" x14ac:dyDescent="0.2">
      <c r="E21" s="11">
        <f>LTBL_27228[[#Totals],[個人／事業所数]]/LTBL_27228[[#Totals],[総数／事業所数]]</f>
        <v>0.56645279560036665</v>
      </c>
      <c r="G21" s="11">
        <f>LTBL_27228[[#Totals],[法人／事業所数]]/LTBL_27228[[#Totals],[総数／事業所数]]</f>
        <v>0.41979835013748856</v>
      </c>
      <c r="I21" s="11">
        <f>LTBL_27228[[#Totals],[法人以外の団体／事業所数]]/LTBL_27228[[#Totals],[総数／事業所数]]</f>
        <v>1.8331805682859762E-3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110</v>
      </c>
      <c r="C24" s="12">
        <v>102</v>
      </c>
      <c r="D24" s="8">
        <v>9.35</v>
      </c>
      <c r="E24" s="12">
        <v>61</v>
      </c>
      <c r="F24" s="8">
        <v>9.8699999999999992</v>
      </c>
      <c r="G24" s="12">
        <v>40</v>
      </c>
      <c r="H24" s="8">
        <v>8.73</v>
      </c>
      <c r="I24" s="12">
        <v>1</v>
      </c>
    </row>
    <row r="25" spans="2:9" ht="15" customHeight="1" x14ac:dyDescent="0.2">
      <c r="B25" t="s">
        <v>114</v>
      </c>
      <c r="C25" s="12">
        <v>96</v>
      </c>
      <c r="D25" s="8">
        <v>8.8000000000000007</v>
      </c>
      <c r="E25" s="12">
        <v>88</v>
      </c>
      <c r="F25" s="8">
        <v>14.24</v>
      </c>
      <c r="G25" s="12">
        <v>8</v>
      </c>
      <c r="H25" s="8">
        <v>1.75</v>
      </c>
      <c r="I25" s="12">
        <v>0</v>
      </c>
    </row>
    <row r="26" spans="2:9" ht="15" customHeight="1" x14ac:dyDescent="0.2">
      <c r="B26" t="s">
        <v>113</v>
      </c>
      <c r="C26" s="12">
        <v>89</v>
      </c>
      <c r="D26" s="8">
        <v>8.16</v>
      </c>
      <c r="E26" s="12">
        <v>81</v>
      </c>
      <c r="F26" s="8">
        <v>13.11</v>
      </c>
      <c r="G26" s="12">
        <v>8</v>
      </c>
      <c r="H26" s="8">
        <v>1.75</v>
      </c>
      <c r="I26" s="12">
        <v>0</v>
      </c>
    </row>
    <row r="27" spans="2:9" ht="15" customHeight="1" x14ac:dyDescent="0.2">
      <c r="B27" t="s">
        <v>108</v>
      </c>
      <c r="C27" s="12">
        <v>75</v>
      </c>
      <c r="D27" s="8">
        <v>6.87</v>
      </c>
      <c r="E27" s="12">
        <v>50</v>
      </c>
      <c r="F27" s="8">
        <v>8.09</v>
      </c>
      <c r="G27" s="12">
        <v>25</v>
      </c>
      <c r="H27" s="8">
        <v>5.46</v>
      </c>
      <c r="I27" s="12">
        <v>0</v>
      </c>
    </row>
    <row r="28" spans="2:9" ht="15" customHeight="1" x14ac:dyDescent="0.2">
      <c r="B28" t="s">
        <v>98</v>
      </c>
      <c r="C28" s="12">
        <v>70</v>
      </c>
      <c r="D28" s="8">
        <v>6.42</v>
      </c>
      <c r="E28" s="12">
        <v>15</v>
      </c>
      <c r="F28" s="8">
        <v>2.4300000000000002</v>
      </c>
      <c r="G28" s="12">
        <v>55</v>
      </c>
      <c r="H28" s="8">
        <v>12.01</v>
      </c>
      <c r="I28" s="12">
        <v>0</v>
      </c>
    </row>
    <row r="29" spans="2:9" ht="15" customHeight="1" x14ac:dyDescent="0.2">
      <c r="B29" t="s">
        <v>106</v>
      </c>
      <c r="C29" s="12">
        <v>57</v>
      </c>
      <c r="D29" s="8">
        <v>5.22</v>
      </c>
      <c r="E29" s="12">
        <v>50</v>
      </c>
      <c r="F29" s="8">
        <v>8.09</v>
      </c>
      <c r="G29" s="12">
        <v>7</v>
      </c>
      <c r="H29" s="8">
        <v>1.53</v>
      </c>
      <c r="I29" s="12">
        <v>0</v>
      </c>
    </row>
    <row r="30" spans="2:9" ht="15" customHeight="1" x14ac:dyDescent="0.2">
      <c r="B30" t="s">
        <v>120</v>
      </c>
      <c r="C30" s="12">
        <v>52</v>
      </c>
      <c r="D30" s="8">
        <v>4.7699999999999996</v>
      </c>
      <c r="E30" s="12">
        <v>29</v>
      </c>
      <c r="F30" s="8">
        <v>4.6900000000000004</v>
      </c>
      <c r="G30" s="12">
        <v>23</v>
      </c>
      <c r="H30" s="8">
        <v>5.0199999999999996</v>
      </c>
      <c r="I30" s="12">
        <v>0</v>
      </c>
    </row>
    <row r="31" spans="2:9" ht="15" customHeight="1" x14ac:dyDescent="0.2">
      <c r="B31" t="s">
        <v>115</v>
      </c>
      <c r="C31" s="12">
        <v>44</v>
      </c>
      <c r="D31" s="8">
        <v>4.03</v>
      </c>
      <c r="E31" s="12">
        <v>34</v>
      </c>
      <c r="F31" s="8">
        <v>5.5</v>
      </c>
      <c r="G31" s="12">
        <v>6</v>
      </c>
      <c r="H31" s="8">
        <v>1.31</v>
      </c>
      <c r="I31" s="12">
        <v>0</v>
      </c>
    </row>
    <row r="32" spans="2:9" ht="15" customHeight="1" x14ac:dyDescent="0.2">
      <c r="B32" t="s">
        <v>107</v>
      </c>
      <c r="C32" s="12">
        <v>43</v>
      </c>
      <c r="D32" s="8">
        <v>3.94</v>
      </c>
      <c r="E32" s="12">
        <v>32</v>
      </c>
      <c r="F32" s="8">
        <v>5.18</v>
      </c>
      <c r="G32" s="12">
        <v>11</v>
      </c>
      <c r="H32" s="8">
        <v>2.4</v>
      </c>
      <c r="I32" s="12">
        <v>0</v>
      </c>
    </row>
    <row r="33" spans="2:9" ht="15" customHeight="1" x14ac:dyDescent="0.2">
      <c r="B33" t="s">
        <v>100</v>
      </c>
      <c r="C33" s="12">
        <v>42</v>
      </c>
      <c r="D33" s="8">
        <v>3.85</v>
      </c>
      <c r="E33" s="12">
        <v>11</v>
      </c>
      <c r="F33" s="8">
        <v>1.78</v>
      </c>
      <c r="G33" s="12">
        <v>31</v>
      </c>
      <c r="H33" s="8">
        <v>6.77</v>
      </c>
      <c r="I33" s="12">
        <v>0</v>
      </c>
    </row>
    <row r="34" spans="2:9" ht="15" customHeight="1" x14ac:dyDescent="0.2">
      <c r="B34" t="s">
        <v>116</v>
      </c>
      <c r="C34" s="12">
        <v>37</v>
      </c>
      <c r="D34" s="8">
        <v>3.39</v>
      </c>
      <c r="E34" s="12">
        <v>35</v>
      </c>
      <c r="F34" s="8">
        <v>5.66</v>
      </c>
      <c r="G34" s="12">
        <v>2</v>
      </c>
      <c r="H34" s="8">
        <v>0.44</v>
      </c>
      <c r="I34" s="12">
        <v>0</v>
      </c>
    </row>
    <row r="35" spans="2:9" ht="15" customHeight="1" x14ac:dyDescent="0.2">
      <c r="B35" t="s">
        <v>99</v>
      </c>
      <c r="C35" s="12">
        <v>34</v>
      </c>
      <c r="D35" s="8">
        <v>3.12</v>
      </c>
      <c r="E35" s="12">
        <v>17</v>
      </c>
      <c r="F35" s="8">
        <v>2.75</v>
      </c>
      <c r="G35" s="12">
        <v>17</v>
      </c>
      <c r="H35" s="8">
        <v>3.71</v>
      </c>
      <c r="I35" s="12">
        <v>0</v>
      </c>
    </row>
    <row r="36" spans="2:9" ht="15" customHeight="1" x14ac:dyDescent="0.2">
      <c r="B36" t="s">
        <v>117</v>
      </c>
      <c r="C36" s="12">
        <v>30</v>
      </c>
      <c r="D36" s="8">
        <v>2.75</v>
      </c>
      <c r="E36" s="12">
        <v>0</v>
      </c>
      <c r="F36" s="8">
        <v>0</v>
      </c>
      <c r="G36" s="12">
        <v>22</v>
      </c>
      <c r="H36" s="8">
        <v>4.8</v>
      </c>
      <c r="I36" s="12">
        <v>0</v>
      </c>
    </row>
    <row r="37" spans="2:9" ht="15" customHeight="1" x14ac:dyDescent="0.2">
      <c r="B37" t="s">
        <v>105</v>
      </c>
      <c r="C37" s="12">
        <v>29</v>
      </c>
      <c r="D37" s="8">
        <v>2.66</v>
      </c>
      <c r="E37" s="12">
        <v>7</v>
      </c>
      <c r="F37" s="8">
        <v>1.1299999999999999</v>
      </c>
      <c r="G37" s="12">
        <v>22</v>
      </c>
      <c r="H37" s="8">
        <v>4.8</v>
      </c>
      <c r="I37" s="12">
        <v>0</v>
      </c>
    </row>
    <row r="38" spans="2:9" ht="15" customHeight="1" x14ac:dyDescent="0.2">
      <c r="B38" t="s">
        <v>101</v>
      </c>
      <c r="C38" s="12">
        <v>24</v>
      </c>
      <c r="D38" s="8">
        <v>2.2000000000000002</v>
      </c>
      <c r="E38" s="12">
        <v>12</v>
      </c>
      <c r="F38" s="8">
        <v>1.94</v>
      </c>
      <c r="G38" s="12">
        <v>12</v>
      </c>
      <c r="H38" s="8">
        <v>2.62</v>
      </c>
      <c r="I38" s="12">
        <v>0</v>
      </c>
    </row>
    <row r="39" spans="2:9" ht="15" customHeight="1" x14ac:dyDescent="0.2">
      <c r="B39" t="s">
        <v>130</v>
      </c>
      <c r="C39" s="12">
        <v>19</v>
      </c>
      <c r="D39" s="8">
        <v>1.74</v>
      </c>
      <c r="E39" s="12">
        <v>12</v>
      </c>
      <c r="F39" s="8">
        <v>1.94</v>
      </c>
      <c r="G39" s="12">
        <v>7</v>
      </c>
      <c r="H39" s="8">
        <v>1.53</v>
      </c>
      <c r="I39" s="12">
        <v>0</v>
      </c>
    </row>
    <row r="40" spans="2:9" ht="15" customHeight="1" x14ac:dyDescent="0.2">
      <c r="B40" t="s">
        <v>112</v>
      </c>
      <c r="C40" s="12">
        <v>16</v>
      </c>
      <c r="D40" s="8">
        <v>1.47</v>
      </c>
      <c r="E40" s="12">
        <v>8</v>
      </c>
      <c r="F40" s="8">
        <v>1.29</v>
      </c>
      <c r="G40" s="12">
        <v>8</v>
      </c>
      <c r="H40" s="8">
        <v>1.75</v>
      </c>
      <c r="I40" s="12">
        <v>0</v>
      </c>
    </row>
    <row r="41" spans="2:9" ht="15" customHeight="1" x14ac:dyDescent="0.2">
      <c r="B41" t="s">
        <v>123</v>
      </c>
      <c r="C41" s="12">
        <v>15</v>
      </c>
      <c r="D41" s="8">
        <v>1.37</v>
      </c>
      <c r="E41" s="12">
        <v>0</v>
      </c>
      <c r="F41" s="8">
        <v>0</v>
      </c>
      <c r="G41" s="12">
        <v>15</v>
      </c>
      <c r="H41" s="8">
        <v>3.28</v>
      </c>
      <c r="I41" s="12">
        <v>0</v>
      </c>
    </row>
    <row r="42" spans="2:9" ht="15" customHeight="1" x14ac:dyDescent="0.2">
      <c r="B42" t="s">
        <v>102</v>
      </c>
      <c r="C42" s="12">
        <v>14</v>
      </c>
      <c r="D42" s="8">
        <v>1.28</v>
      </c>
      <c r="E42" s="12">
        <v>6</v>
      </c>
      <c r="F42" s="8">
        <v>0.97</v>
      </c>
      <c r="G42" s="12">
        <v>8</v>
      </c>
      <c r="H42" s="8">
        <v>1.75</v>
      </c>
      <c r="I42" s="12">
        <v>0</v>
      </c>
    </row>
    <row r="43" spans="2:9" ht="15" customHeight="1" x14ac:dyDescent="0.2">
      <c r="B43" t="s">
        <v>111</v>
      </c>
      <c r="C43" s="12">
        <v>13</v>
      </c>
      <c r="D43" s="8">
        <v>1.19</v>
      </c>
      <c r="E43" s="12">
        <v>11</v>
      </c>
      <c r="F43" s="8">
        <v>1.78</v>
      </c>
      <c r="G43" s="12">
        <v>2</v>
      </c>
      <c r="H43" s="8">
        <v>0.44</v>
      </c>
      <c r="I43" s="12">
        <v>0</v>
      </c>
    </row>
    <row r="44" spans="2:9" ht="15" customHeight="1" x14ac:dyDescent="0.2">
      <c r="B44" t="s">
        <v>145</v>
      </c>
      <c r="C44" s="12">
        <v>13</v>
      </c>
      <c r="D44" s="8">
        <v>1.19</v>
      </c>
      <c r="E44" s="12">
        <v>11</v>
      </c>
      <c r="F44" s="8">
        <v>1.78</v>
      </c>
      <c r="G44" s="12">
        <v>2</v>
      </c>
      <c r="H44" s="8">
        <v>0.44</v>
      </c>
      <c r="I44" s="12">
        <v>0</v>
      </c>
    </row>
    <row r="45" spans="2:9" ht="15" customHeight="1" x14ac:dyDescent="0.2">
      <c r="B45" t="s">
        <v>129</v>
      </c>
      <c r="C45" s="12">
        <v>13</v>
      </c>
      <c r="D45" s="8">
        <v>1.19</v>
      </c>
      <c r="E45" s="12">
        <v>11</v>
      </c>
      <c r="F45" s="8">
        <v>1.78</v>
      </c>
      <c r="G45" s="12">
        <v>2</v>
      </c>
      <c r="H45" s="8">
        <v>0.44</v>
      </c>
      <c r="I45" s="12">
        <v>0</v>
      </c>
    </row>
    <row r="48" spans="2:9" ht="33" customHeight="1" x14ac:dyDescent="0.2">
      <c r="B48" t="s">
        <v>273</v>
      </c>
      <c r="C48" s="10" t="s">
        <v>91</v>
      </c>
      <c r="D48" s="10" t="s">
        <v>92</v>
      </c>
      <c r="E48" s="10" t="s">
        <v>93</v>
      </c>
      <c r="F48" s="10" t="s">
        <v>94</v>
      </c>
      <c r="G48" s="10" t="s">
        <v>95</v>
      </c>
      <c r="H48" s="10" t="s">
        <v>96</v>
      </c>
      <c r="I48" s="10" t="s">
        <v>97</v>
      </c>
    </row>
    <row r="49" spans="2:9" ht="15" customHeight="1" x14ac:dyDescent="0.2">
      <c r="B49" t="s">
        <v>169</v>
      </c>
      <c r="C49" s="12">
        <v>57</v>
      </c>
      <c r="D49" s="8">
        <v>5.22</v>
      </c>
      <c r="E49" s="12">
        <v>55</v>
      </c>
      <c r="F49" s="8">
        <v>8.9</v>
      </c>
      <c r="G49" s="12">
        <v>2</v>
      </c>
      <c r="H49" s="8">
        <v>0.44</v>
      </c>
      <c r="I49" s="12">
        <v>0</v>
      </c>
    </row>
    <row r="50" spans="2:9" ht="15" customHeight="1" x14ac:dyDescent="0.2">
      <c r="B50" t="s">
        <v>160</v>
      </c>
      <c r="C50" s="12">
        <v>46</v>
      </c>
      <c r="D50" s="8">
        <v>4.22</v>
      </c>
      <c r="E50" s="12">
        <v>24</v>
      </c>
      <c r="F50" s="8">
        <v>3.88</v>
      </c>
      <c r="G50" s="12">
        <v>22</v>
      </c>
      <c r="H50" s="8">
        <v>4.8</v>
      </c>
      <c r="I50" s="12">
        <v>0</v>
      </c>
    </row>
    <row r="51" spans="2:9" ht="15" customHeight="1" x14ac:dyDescent="0.2">
      <c r="B51" t="s">
        <v>161</v>
      </c>
      <c r="C51" s="12">
        <v>40</v>
      </c>
      <c r="D51" s="8">
        <v>3.67</v>
      </c>
      <c r="E51" s="12">
        <v>36</v>
      </c>
      <c r="F51" s="8">
        <v>5.83</v>
      </c>
      <c r="G51" s="12">
        <v>4</v>
      </c>
      <c r="H51" s="8">
        <v>0.87</v>
      </c>
      <c r="I51" s="12">
        <v>0</v>
      </c>
    </row>
    <row r="52" spans="2:9" ht="15" customHeight="1" x14ac:dyDescent="0.2">
      <c r="B52" t="s">
        <v>171</v>
      </c>
      <c r="C52" s="12">
        <v>35</v>
      </c>
      <c r="D52" s="8">
        <v>3.21</v>
      </c>
      <c r="E52" s="12">
        <v>33</v>
      </c>
      <c r="F52" s="8">
        <v>5.34</v>
      </c>
      <c r="G52" s="12">
        <v>2</v>
      </c>
      <c r="H52" s="8">
        <v>0.44</v>
      </c>
      <c r="I52" s="12">
        <v>0</v>
      </c>
    </row>
    <row r="53" spans="2:9" ht="15" customHeight="1" x14ac:dyDescent="0.2">
      <c r="B53" t="s">
        <v>215</v>
      </c>
      <c r="C53" s="12">
        <v>29</v>
      </c>
      <c r="D53" s="8">
        <v>2.66</v>
      </c>
      <c r="E53" s="12">
        <v>22</v>
      </c>
      <c r="F53" s="8">
        <v>3.56</v>
      </c>
      <c r="G53" s="12">
        <v>7</v>
      </c>
      <c r="H53" s="8">
        <v>1.53</v>
      </c>
      <c r="I53" s="12">
        <v>0</v>
      </c>
    </row>
    <row r="54" spans="2:9" ht="15" customHeight="1" x14ac:dyDescent="0.2">
      <c r="B54" t="s">
        <v>190</v>
      </c>
      <c r="C54" s="12">
        <v>28</v>
      </c>
      <c r="D54" s="8">
        <v>2.57</v>
      </c>
      <c r="E54" s="12">
        <v>5</v>
      </c>
      <c r="F54" s="8">
        <v>0.81</v>
      </c>
      <c r="G54" s="12">
        <v>23</v>
      </c>
      <c r="H54" s="8">
        <v>5.0199999999999996</v>
      </c>
      <c r="I54" s="12">
        <v>0</v>
      </c>
    </row>
    <row r="55" spans="2:9" ht="15" customHeight="1" x14ac:dyDescent="0.2">
      <c r="B55" t="s">
        <v>167</v>
      </c>
      <c r="C55" s="12">
        <v>28</v>
      </c>
      <c r="D55" s="8">
        <v>2.57</v>
      </c>
      <c r="E55" s="12">
        <v>26</v>
      </c>
      <c r="F55" s="8">
        <v>4.21</v>
      </c>
      <c r="G55" s="12">
        <v>2</v>
      </c>
      <c r="H55" s="8">
        <v>0.44</v>
      </c>
      <c r="I55" s="12">
        <v>0</v>
      </c>
    </row>
    <row r="56" spans="2:9" ht="15" customHeight="1" x14ac:dyDescent="0.2">
      <c r="B56" t="s">
        <v>157</v>
      </c>
      <c r="C56" s="12">
        <v>26</v>
      </c>
      <c r="D56" s="8">
        <v>2.38</v>
      </c>
      <c r="E56" s="12">
        <v>20</v>
      </c>
      <c r="F56" s="8">
        <v>3.24</v>
      </c>
      <c r="G56" s="12">
        <v>6</v>
      </c>
      <c r="H56" s="8">
        <v>1.31</v>
      </c>
      <c r="I56" s="12">
        <v>0</v>
      </c>
    </row>
    <row r="57" spans="2:9" ht="15" customHeight="1" x14ac:dyDescent="0.2">
      <c r="B57" t="s">
        <v>168</v>
      </c>
      <c r="C57" s="12">
        <v>26</v>
      </c>
      <c r="D57" s="8">
        <v>2.38</v>
      </c>
      <c r="E57" s="12">
        <v>25</v>
      </c>
      <c r="F57" s="8">
        <v>4.05</v>
      </c>
      <c r="G57" s="12">
        <v>1</v>
      </c>
      <c r="H57" s="8">
        <v>0.22</v>
      </c>
      <c r="I57" s="12">
        <v>0</v>
      </c>
    </row>
    <row r="58" spans="2:9" ht="15" customHeight="1" x14ac:dyDescent="0.2">
      <c r="B58" t="s">
        <v>170</v>
      </c>
      <c r="C58" s="12">
        <v>23</v>
      </c>
      <c r="D58" s="8">
        <v>2.11</v>
      </c>
      <c r="E58" s="12">
        <v>20</v>
      </c>
      <c r="F58" s="8">
        <v>3.24</v>
      </c>
      <c r="G58" s="12">
        <v>3</v>
      </c>
      <c r="H58" s="8">
        <v>0.66</v>
      </c>
      <c r="I58" s="12">
        <v>0</v>
      </c>
    </row>
    <row r="59" spans="2:9" ht="15" customHeight="1" x14ac:dyDescent="0.2">
      <c r="B59" t="s">
        <v>165</v>
      </c>
      <c r="C59" s="12">
        <v>21</v>
      </c>
      <c r="D59" s="8">
        <v>1.92</v>
      </c>
      <c r="E59" s="12">
        <v>21</v>
      </c>
      <c r="F59" s="8">
        <v>3.4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174</v>
      </c>
      <c r="C60" s="12">
        <v>18</v>
      </c>
      <c r="D60" s="8">
        <v>1.65</v>
      </c>
      <c r="E60" s="12">
        <v>4</v>
      </c>
      <c r="F60" s="8">
        <v>0.65</v>
      </c>
      <c r="G60" s="12">
        <v>14</v>
      </c>
      <c r="H60" s="8">
        <v>3.06</v>
      </c>
      <c r="I60" s="12">
        <v>0</v>
      </c>
    </row>
    <row r="61" spans="2:9" ht="15" customHeight="1" x14ac:dyDescent="0.2">
      <c r="B61" t="s">
        <v>229</v>
      </c>
      <c r="C61" s="12">
        <v>18</v>
      </c>
      <c r="D61" s="8">
        <v>1.65</v>
      </c>
      <c r="E61" s="12">
        <v>12</v>
      </c>
      <c r="F61" s="8">
        <v>1.94</v>
      </c>
      <c r="G61" s="12">
        <v>6</v>
      </c>
      <c r="H61" s="8">
        <v>1.31</v>
      </c>
      <c r="I61" s="12">
        <v>0</v>
      </c>
    </row>
    <row r="62" spans="2:9" ht="15" customHeight="1" x14ac:dyDescent="0.2">
      <c r="B62" t="s">
        <v>156</v>
      </c>
      <c r="C62" s="12">
        <v>17</v>
      </c>
      <c r="D62" s="8">
        <v>1.56</v>
      </c>
      <c r="E62" s="12">
        <v>13</v>
      </c>
      <c r="F62" s="8">
        <v>2.1</v>
      </c>
      <c r="G62" s="12">
        <v>4</v>
      </c>
      <c r="H62" s="8">
        <v>0.87</v>
      </c>
      <c r="I62" s="12">
        <v>0</v>
      </c>
    </row>
    <row r="63" spans="2:9" ht="15" customHeight="1" x14ac:dyDescent="0.2">
      <c r="B63" t="s">
        <v>153</v>
      </c>
      <c r="C63" s="12">
        <v>16</v>
      </c>
      <c r="D63" s="8">
        <v>1.47</v>
      </c>
      <c r="E63" s="12">
        <v>5</v>
      </c>
      <c r="F63" s="8">
        <v>0.81</v>
      </c>
      <c r="G63" s="12">
        <v>11</v>
      </c>
      <c r="H63" s="8">
        <v>2.4</v>
      </c>
      <c r="I63" s="12">
        <v>0</v>
      </c>
    </row>
    <row r="64" spans="2:9" ht="15" customHeight="1" x14ac:dyDescent="0.2">
      <c r="B64" t="s">
        <v>199</v>
      </c>
      <c r="C64" s="12">
        <v>16</v>
      </c>
      <c r="D64" s="8">
        <v>1.47</v>
      </c>
      <c r="E64" s="12">
        <v>14</v>
      </c>
      <c r="F64" s="8">
        <v>2.27</v>
      </c>
      <c r="G64" s="12">
        <v>2</v>
      </c>
      <c r="H64" s="8">
        <v>0.44</v>
      </c>
      <c r="I64" s="12">
        <v>0</v>
      </c>
    </row>
    <row r="65" spans="2:9" ht="15" customHeight="1" x14ac:dyDescent="0.2">
      <c r="B65" t="s">
        <v>235</v>
      </c>
      <c r="C65" s="12">
        <v>15</v>
      </c>
      <c r="D65" s="8">
        <v>1.37</v>
      </c>
      <c r="E65" s="12">
        <v>7</v>
      </c>
      <c r="F65" s="8">
        <v>1.1299999999999999</v>
      </c>
      <c r="G65" s="12">
        <v>8</v>
      </c>
      <c r="H65" s="8">
        <v>1.75</v>
      </c>
      <c r="I65" s="12">
        <v>0</v>
      </c>
    </row>
    <row r="66" spans="2:9" ht="15" customHeight="1" x14ac:dyDescent="0.2">
      <c r="B66" t="s">
        <v>224</v>
      </c>
      <c r="C66" s="12">
        <v>14</v>
      </c>
      <c r="D66" s="8">
        <v>1.28</v>
      </c>
      <c r="E66" s="12">
        <v>5</v>
      </c>
      <c r="F66" s="8">
        <v>0.81</v>
      </c>
      <c r="G66" s="12">
        <v>9</v>
      </c>
      <c r="H66" s="8">
        <v>1.97</v>
      </c>
      <c r="I66" s="12">
        <v>0</v>
      </c>
    </row>
    <row r="67" spans="2:9" ht="15" customHeight="1" x14ac:dyDescent="0.2">
      <c r="B67" t="s">
        <v>194</v>
      </c>
      <c r="C67" s="12">
        <v>14</v>
      </c>
      <c r="D67" s="8">
        <v>1.28</v>
      </c>
      <c r="E67" s="12">
        <v>12</v>
      </c>
      <c r="F67" s="8">
        <v>1.94</v>
      </c>
      <c r="G67" s="12">
        <v>2</v>
      </c>
      <c r="H67" s="8">
        <v>0.44</v>
      </c>
      <c r="I67" s="12">
        <v>0</v>
      </c>
    </row>
    <row r="68" spans="2:9" ht="15" customHeight="1" x14ac:dyDescent="0.2">
      <c r="B68" t="s">
        <v>210</v>
      </c>
      <c r="C68" s="12">
        <v>13</v>
      </c>
      <c r="D68" s="8">
        <v>1.19</v>
      </c>
      <c r="E68" s="12">
        <v>5</v>
      </c>
      <c r="F68" s="8">
        <v>0.81</v>
      </c>
      <c r="G68" s="12">
        <v>8</v>
      </c>
      <c r="H68" s="8">
        <v>1.75</v>
      </c>
      <c r="I68" s="12">
        <v>0</v>
      </c>
    </row>
    <row r="69" spans="2:9" ht="15" customHeight="1" x14ac:dyDescent="0.2">
      <c r="B69" t="s">
        <v>198</v>
      </c>
      <c r="C69" s="12">
        <v>13</v>
      </c>
      <c r="D69" s="8">
        <v>1.19</v>
      </c>
      <c r="E69" s="12">
        <v>11</v>
      </c>
      <c r="F69" s="8">
        <v>1.78</v>
      </c>
      <c r="G69" s="12">
        <v>2</v>
      </c>
      <c r="H69" s="8">
        <v>0.44</v>
      </c>
      <c r="I69" s="12">
        <v>0</v>
      </c>
    </row>
    <row r="71" spans="2:9" ht="15" customHeight="1" x14ac:dyDescent="0.2">
      <c r="B71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11C26-E486-46A6-BF06-85B0B99E59EB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335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158</v>
      </c>
      <c r="D6" s="8">
        <v>13.86</v>
      </c>
      <c r="E6" s="12">
        <v>35</v>
      </c>
      <c r="F6" s="8">
        <v>5.56</v>
      </c>
      <c r="G6" s="12">
        <v>123</v>
      </c>
      <c r="H6" s="8">
        <v>24.36</v>
      </c>
      <c r="I6" s="12">
        <v>0</v>
      </c>
    </row>
    <row r="7" spans="2:9" ht="15" customHeight="1" x14ac:dyDescent="0.2">
      <c r="B7" t="s">
        <v>77</v>
      </c>
      <c r="C7" s="12">
        <v>80</v>
      </c>
      <c r="D7" s="8">
        <v>7.02</v>
      </c>
      <c r="E7" s="12">
        <v>33</v>
      </c>
      <c r="F7" s="8">
        <v>5.25</v>
      </c>
      <c r="G7" s="12">
        <v>47</v>
      </c>
      <c r="H7" s="8">
        <v>9.31</v>
      </c>
      <c r="I7" s="12">
        <v>0</v>
      </c>
    </row>
    <row r="8" spans="2:9" ht="15" customHeight="1" x14ac:dyDescent="0.2">
      <c r="B8" t="s">
        <v>78</v>
      </c>
      <c r="C8" s="12">
        <v>3</v>
      </c>
      <c r="D8" s="8">
        <v>0.26</v>
      </c>
      <c r="E8" s="12">
        <v>0</v>
      </c>
      <c r="F8" s="8">
        <v>0</v>
      </c>
      <c r="G8" s="12">
        <v>2</v>
      </c>
      <c r="H8" s="8">
        <v>0.4</v>
      </c>
      <c r="I8" s="12">
        <v>0</v>
      </c>
    </row>
    <row r="9" spans="2:9" ht="15" customHeight="1" x14ac:dyDescent="0.2">
      <c r="B9" t="s">
        <v>79</v>
      </c>
      <c r="C9" s="12">
        <v>8</v>
      </c>
      <c r="D9" s="8">
        <v>0.7</v>
      </c>
      <c r="E9" s="12">
        <v>1</v>
      </c>
      <c r="F9" s="8">
        <v>0.16</v>
      </c>
      <c r="G9" s="12">
        <v>7</v>
      </c>
      <c r="H9" s="8">
        <v>1.39</v>
      </c>
      <c r="I9" s="12">
        <v>0</v>
      </c>
    </row>
    <row r="10" spans="2:9" ht="15" customHeight="1" x14ac:dyDescent="0.2">
      <c r="B10" t="s">
        <v>80</v>
      </c>
      <c r="C10" s="12">
        <v>14</v>
      </c>
      <c r="D10" s="8">
        <v>1.23</v>
      </c>
      <c r="E10" s="12">
        <v>5</v>
      </c>
      <c r="F10" s="8">
        <v>0.79</v>
      </c>
      <c r="G10" s="12">
        <v>9</v>
      </c>
      <c r="H10" s="8">
        <v>1.78</v>
      </c>
      <c r="I10" s="12">
        <v>0</v>
      </c>
    </row>
    <row r="11" spans="2:9" ht="15" customHeight="1" x14ac:dyDescent="0.2">
      <c r="B11" t="s">
        <v>81</v>
      </c>
      <c r="C11" s="12">
        <v>215</v>
      </c>
      <c r="D11" s="8">
        <v>18.86</v>
      </c>
      <c r="E11" s="12">
        <v>101</v>
      </c>
      <c r="F11" s="8">
        <v>16.059999999999999</v>
      </c>
      <c r="G11" s="12">
        <v>114</v>
      </c>
      <c r="H11" s="8">
        <v>22.57</v>
      </c>
      <c r="I11" s="12">
        <v>0</v>
      </c>
    </row>
    <row r="12" spans="2:9" ht="15" customHeight="1" x14ac:dyDescent="0.2">
      <c r="B12" t="s">
        <v>82</v>
      </c>
      <c r="C12" s="12">
        <v>2</v>
      </c>
      <c r="D12" s="8">
        <v>0.18</v>
      </c>
      <c r="E12" s="12">
        <v>0</v>
      </c>
      <c r="F12" s="8">
        <v>0</v>
      </c>
      <c r="G12" s="12">
        <v>2</v>
      </c>
      <c r="H12" s="8">
        <v>0.4</v>
      </c>
      <c r="I12" s="12">
        <v>0</v>
      </c>
    </row>
    <row r="13" spans="2:9" ht="15" customHeight="1" x14ac:dyDescent="0.2">
      <c r="B13" t="s">
        <v>83</v>
      </c>
      <c r="C13" s="12">
        <v>229</v>
      </c>
      <c r="D13" s="8">
        <v>20.09</v>
      </c>
      <c r="E13" s="12">
        <v>144</v>
      </c>
      <c r="F13" s="8">
        <v>22.89</v>
      </c>
      <c r="G13" s="12">
        <v>84</v>
      </c>
      <c r="H13" s="8">
        <v>16.63</v>
      </c>
      <c r="I13" s="12">
        <v>1</v>
      </c>
    </row>
    <row r="14" spans="2:9" ht="15" customHeight="1" x14ac:dyDescent="0.2">
      <c r="B14" t="s">
        <v>84</v>
      </c>
      <c r="C14" s="12">
        <v>36</v>
      </c>
      <c r="D14" s="8">
        <v>3.16</v>
      </c>
      <c r="E14" s="12">
        <v>19</v>
      </c>
      <c r="F14" s="8">
        <v>3.02</v>
      </c>
      <c r="G14" s="12">
        <v>17</v>
      </c>
      <c r="H14" s="8">
        <v>3.37</v>
      </c>
      <c r="I14" s="12">
        <v>0</v>
      </c>
    </row>
    <row r="15" spans="2:9" ht="15" customHeight="1" x14ac:dyDescent="0.2">
      <c r="B15" t="s">
        <v>85</v>
      </c>
      <c r="C15" s="12">
        <v>126</v>
      </c>
      <c r="D15" s="8">
        <v>11.05</v>
      </c>
      <c r="E15" s="12">
        <v>116</v>
      </c>
      <c r="F15" s="8">
        <v>18.440000000000001</v>
      </c>
      <c r="G15" s="12">
        <v>9</v>
      </c>
      <c r="H15" s="8">
        <v>1.78</v>
      </c>
      <c r="I15" s="12">
        <v>0</v>
      </c>
    </row>
    <row r="16" spans="2:9" ht="15" customHeight="1" x14ac:dyDescent="0.2">
      <c r="B16" t="s">
        <v>86</v>
      </c>
      <c r="C16" s="12">
        <v>137</v>
      </c>
      <c r="D16" s="8">
        <v>12.02</v>
      </c>
      <c r="E16" s="12">
        <v>110</v>
      </c>
      <c r="F16" s="8">
        <v>17.489999999999998</v>
      </c>
      <c r="G16" s="12">
        <v>27</v>
      </c>
      <c r="H16" s="8">
        <v>5.35</v>
      </c>
      <c r="I16" s="12">
        <v>0</v>
      </c>
    </row>
    <row r="17" spans="2:9" ht="15" customHeight="1" x14ac:dyDescent="0.2">
      <c r="B17" t="s">
        <v>87</v>
      </c>
      <c r="C17" s="12">
        <v>50</v>
      </c>
      <c r="D17" s="8">
        <v>4.3899999999999997</v>
      </c>
      <c r="E17" s="12">
        <v>34</v>
      </c>
      <c r="F17" s="8">
        <v>5.41</v>
      </c>
      <c r="G17" s="12">
        <v>15</v>
      </c>
      <c r="H17" s="8">
        <v>2.97</v>
      </c>
      <c r="I17" s="12">
        <v>0</v>
      </c>
    </row>
    <row r="18" spans="2:9" ht="15" customHeight="1" x14ac:dyDescent="0.2">
      <c r="B18" t="s">
        <v>88</v>
      </c>
      <c r="C18" s="12">
        <v>50</v>
      </c>
      <c r="D18" s="8">
        <v>4.3899999999999997</v>
      </c>
      <c r="E18" s="12">
        <v>20</v>
      </c>
      <c r="F18" s="8">
        <v>3.18</v>
      </c>
      <c r="G18" s="12">
        <v>29</v>
      </c>
      <c r="H18" s="8">
        <v>5.74</v>
      </c>
      <c r="I18" s="12">
        <v>0</v>
      </c>
    </row>
    <row r="19" spans="2:9" ht="15" customHeight="1" x14ac:dyDescent="0.2">
      <c r="B19" t="s">
        <v>89</v>
      </c>
      <c r="C19" s="12">
        <v>32</v>
      </c>
      <c r="D19" s="8">
        <v>2.81</v>
      </c>
      <c r="E19" s="12">
        <v>11</v>
      </c>
      <c r="F19" s="8">
        <v>1.75</v>
      </c>
      <c r="G19" s="12">
        <v>20</v>
      </c>
      <c r="H19" s="8">
        <v>3.96</v>
      </c>
      <c r="I19" s="12">
        <v>1</v>
      </c>
    </row>
    <row r="20" spans="2:9" ht="15" customHeight="1" x14ac:dyDescent="0.2">
      <c r="B20" s="9" t="s">
        <v>271</v>
      </c>
      <c r="C20" s="12">
        <f>SUM(LTBL_27229[総数／事業所数])</f>
        <v>1140</v>
      </c>
      <c r="E20" s="12">
        <f>SUBTOTAL(109,LTBL_27229[個人／事業所数])</f>
        <v>629</v>
      </c>
      <c r="G20" s="12">
        <f>SUBTOTAL(109,LTBL_27229[法人／事業所数])</f>
        <v>505</v>
      </c>
      <c r="I20" s="12">
        <f>SUBTOTAL(109,LTBL_27229[法人以外の団体／事業所数])</f>
        <v>2</v>
      </c>
    </row>
    <row r="21" spans="2:9" ht="15" customHeight="1" x14ac:dyDescent="0.2">
      <c r="E21" s="11">
        <f>LTBL_27229[[#Totals],[個人／事業所数]]/LTBL_27229[[#Totals],[総数／事業所数]]</f>
        <v>0.55175438596491233</v>
      </c>
      <c r="G21" s="11">
        <f>LTBL_27229[[#Totals],[法人／事業所数]]/LTBL_27229[[#Totals],[総数／事業所数]]</f>
        <v>0.44298245614035087</v>
      </c>
      <c r="I21" s="11">
        <f>LTBL_27229[[#Totals],[法人以外の団体／事業所数]]/LTBL_27229[[#Totals],[総数／事業所数]]</f>
        <v>1.7543859649122807E-3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110</v>
      </c>
      <c r="C24" s="12">
        <v>206</v>
      </c>
      <c r="D24" s="8">
        <v>18.07</v>
      </c>
      <c r="E24" s="12">
        <v>136</v>
      </c>
      <c r="F24" s="8">
        <v>21.62</v>
      </c>
      <c r="G24" s="12">
        <v>69</v>
      </c>
      <c r="H24" s="8">
        <v>13.66</v>
      </c>
      <c r="I24" s="12">
        <v>1</v>
      </c>
    </row>
    <row r="25" spans="2:9" ht="15" customHeight="1" x14ac:dyDescent="0.2">
      <c r="B25" t="s">
        <v>113</v>
      </c>
      <c r="C25" s="12">
        <v>114</v>
      </c>
      <c r="D25" s="8">
        <v>10</v>
      </c>
      <c r="E25" s="12">
        <v>112</v>
      </c>
      <c r="F25" s="8">
        <v>17.809999999999999</v>
      </c>
      <c r="G25" s="12">
        <v>2</v>
      </c>
      <c r="H25" s="8">
        <v>0.4</v>
      </c>
      <c r="I25" s="12">
        <v>0</v>
      </c>
    </row>
    <row r="26" spans="2:9" ht="15" customHeight="1" x14ac:dyDescent="0.2">
      <c r="B26" t="s">
        <v>114</v>
      </c>
      <c r="C26" s="12">
        <v>111</v>
      </c>
      <c r="D26" s="8">
        <v>9.74</v>
      </c>
      <c r="E26" s="12">
        <v>96</v>
      </c>
      <c r="F26" s="8">
        <v>15.26</v>
      </c>
      <c r="G26" s="12">
        <v>15</v>
      </c>
      <c r="H26" s="8">
        <v>2.97</v>
      </c>
      <c r="I26" s="12">
        <v>0</v>
      </c>
    </row>
    <row r="27" spans="2:9" ht="15" customHeight="1" x14ac:dyDescent="0.2">
      <c r="B27" t="s">
        <v>98</v>
      </c>
      <c r="C27" s="12">
        <v>74</v>
      </c>
      <c r="D27" s="8">
        <v>6.49</v>
      </c>
      <c r="E27" s="12">
        <v>10</v>
      </c>
      <c r="F27" s="8">
        <v>1.59</v>
      </c>
      <c r="G27" s="12">
        <v>64</v>
      </c>
      <c r="H27" s="8">
        <v>12.67</v>
      </c>
      <c r="I27" s="12">
        <v>0</v>
      </c>
    </row>
    <row r="28" spans="2:9" ht="15" customHeight="1" x14ac:dyDescent="0.2">
      <c r="B28" t="s">
        <v>108</v>
      </c>
      <c r="C28" s="12">
        <v>67</v>
      </c>
      <c r="D28" s="8">
        <v>5.88</v>
      </c>
      <c r="E28" s="12">
        <v>34</v>
      </c>
      <c r="F28" s="8">
        <v>5.41</v>
      </c>
      <c r="G28" s="12">
        <v>33</v>
      </c>
      <c r="H28" s="8">
        <v>6.53</v>
      </c>
      <c r="I28" s="12">
        <v>0</v>
      </c>
    </row>
    <row r="29" spans="2:9" ht="15" customHeight="1" x14ac:dyDescent="0.2">
      <c r="B29" t="s">
        <v>115</v>
      </c>
      <c r="C29" s="12">
        <v>50</v>
      </c>
      <c r="D29" s="8">
        <v>4.3899999999999997</v>
      </c>
      <c r="E29" s="12">
        <v>34</v>
      </c>
      <c r="F29" s="8">
        <v>5.41</v>
      </c>
      <c r="G29" s="12">
        <v>15</v>
      </c>
      <c r="H29" s="8">
        <v>2.97</v>
      </c>
      <c r="I29" s="12">
        <v>0</v>
      </c>
    </row>
    <row r="30" spans="2:9" ht="15" customHeight="1" x14ac:dyDescent="0.2">
      <c r="B30" t="s">
        <v>99</v>
      </c>
      <c r="C30" s="12">
        <v>43</v>
      </c>
      <c r="D30" s="8">
        <v>3.77</v>
      </c>
      <c r="E30" s="12">
        <v>14</v>
      </c>
      <c r="F30" s="8">
        <v>2.23</v>
      </c>
      <c r="G30" s="12">
        <v>29</v>
      </c>
      <c r="H30" s="8">
        <v>5.74</v>
      </c>
      <c r="I30" s="12">
        <v>0</v>
      </c>
    </row>
    <row r="31" spans="2:9" ht="15" customHeight="1" x14ac:dyDescent="0.2">
      <c r="B31" t="s">
        <v>106</v>
      </c>
      <c r="C31" s="12">
        <v>42</v>
      </c>
      <c r="D31" s="8">
        <v>3.68</v>
      </c>
      <c r="E31" s="12">
        <v>29</v>
      </c>
      <c r="F31" s="8">
        <v>4.6100000000000003</v>
      </c>
      <c r="G31" s="12">
        <v>13</v>
      </c>
      <c r="H31" s="8">
        <v>2.57</v>
      </c>
      <c r="I31" s="12">
        <v>0</v>
      </c>
    </row>
    <row r="32" spans="2:9" ht="15" customHeight="1" x14ac:dyDescent="0.2">
      <c r="B32" t="s">
        <v>100</v>
      </c>
      <c r="C32" s="12">
        <v>41</v>
      </c>
      <c r="D32" s="8">
        <v>3.6</v>
      </c>
      <c r="E32" s="12">
        <v>11</v>
      </c>
      <c r="F32" s="8">
        <v>1.75</v>
      </c>
      <c r="G32" s="12">
        <v>30</v>
      </c>
      <c r="H32" s="8">
        <v>5.94</v>
      </c>
      <c r="I32" s="12">
        <v>0</v>
      </c>
    </row>
    <row r="33" spans="2:9" ht="15" customHeight="1" x14ac:dyDescent="0.2">
      <c r="B33" t="s">
        <v>105</v>
      </c>
      <c r="C33" s="12">
        <v>35</v>
      </c>
      <c r="D33" s="8">
        <v>3.07</v>
      </c>
      <c r="E33" s="12">
        <v>13</v>
      </c>
      <c r="F33" s="8">
        <v>2.0699999999999998</v>
      </c>
      <c r="G33" s="12">
        <v>22</v>
      </c>
      <c r="H33" s="8">
        <v>4.3600000000000003</v>
      </c>
      <c r="I33" s="12">
        <v>0</v>
      </c>
    </row>
    <row r="34" spans="2:9" ht="15" customHeight="1" x14ac:dyDescent="0.2">
      <c r="B34" t="s">
        <v>116</v>
      </c>
      <c r="C34" s="12">
        <v>30</v>
      </c>
      <c r="D34" s="8">
        <v>2.63</v>
      </c>
      <c r="E34" s="12">
        <v>20</v>
      </c>
      <c r="F34" s="8">
        <v>3.18</v>
      </c>
      <c r="G34" s="12">
        <v>10</v>
      </c>
      <c r="H34" s="8">
        <v>1.98</v>
      </c>
      <c r="I34" s="12">
        <v>0</v>
      </c>
    </row>
    <row r="35" spans="2:9" ht="15" customHeight="1" x14ac:dyDescent="0.2">
      <c r="B35" t="s">
        <v>107</v>
      </c>
      <c r="C35" s="12">
        <v>26</v>
      </c>
      <c r="D35" s="8">
        <v>2.2799999999999998</v>
      </c>
      <c r="E35" s="12">
        <v>18</v>
      </c>
      <c r="F35" s="8">
        <v>2.86</v>
      </c>
      <c r="G35" s="12">
        <v>8</v>
      </c>
      <c r="H35" s="8">
        <v>1.58</v>
      </c>
      <c r="I35" s="12">
        <v>0</v>
      </c>
    </row>
    <row r="36" spans="2:9" ht="15" customHeight="1" x14ac:dyDescent="0.2">
      <c r="B36" t="s">
        <v>111</v>
      </c>
      <c r="C36" s="12">
        <v>22</v>
      </c>
      <c r="D36" s="8">
        <v>1.93</v>
      </c>
      <c r="E36" s="12">
        <v>12</v>
      </c>
      <c r="F36" s="8">
        <v>1.91</v>
      </c>
      <c r="G36" s="12">
        <v>10</v>
      </c>
      <c r="H36" s="8">
        <v>1.98</v>
      </c>
      <c r="I36" s="12">
        <v>0</v>
      </c>
    </row>
    <row r="37" spans="2:9" ht="15" customHeight="1" x14ac:dyDescent="0.2">
      <c r="B37" t="s">
        <v>117</v>
      </c>
      <c r="C37" s="12">
        <v>20</v>
      </c>
      <c r="D37" s="8">
        <v>1.75</v>
      </c>
      <c r="E37" s="12">
        <v>0</v>
      </c>
      <c r="F37" s="8">
        <v>0</v>
      </c>
      <c r="G37" s="12">
        <v>19</v>
      </c>
      <c r="H37" s="8">
        <v>3.76</v>
      </c>
      <c r="I37" s="12">
        <v>0</v>
      </c>
    </row>
    <row r="38" spans="2:9" ht="15" customHeight="1" x14ac:dyDescent="0.2">
      <c r="B38" t="s">
        <v>109</v>
      </c>
      <c r="C38" s="12">
        <v>18</v>
      </c>
      <c r="D38" s="8">
        <v>1.58</v>
      </c>
      <c r="E38" s="12">
        <v>8</v>
      </c>
      <c r="F38" s="8">
        <v>1.27</v>
      </c>
      <c r="G38" s="12">
        <v>10</v>
      </c>
      <c r="H38" s="8">
        <v>1.98</v>
      </c>
      <c r="I38" s="12">
        <v>0</v>
      </c>
    </row>
    <row r="39" spans="2:9" ht="15" customHeight="1" x14ac:dyDescent="0.2">
      <c r="B39" t="s">
        <v>119</v>
      </c>
      <c r="C39" s="12">
        <v>18</v>
      </c>
      <c r="D39" s="8">
        <v>1.58</v>
      </c>
      <c r="E39" s="12">
        <v>2</v>
      </c>
      <c r="F39" s="8">
        <v>0.32</v>
      </c>
      <c r="G39" s="12">
        <v>15</v>
      </c>
      <c r="H39" s="8">
        <v>2.97</v>
      </c>
      <c r="I39" s="12">
        <v>1</v>
      </c>
    </row>
    <row r="40" spans="2:9" ht="15" customHeight="1" x14ac:dyDescent="0.2">
      <c r="B40" t="s">
        <v>101</v>
      </c>
      <c r="C40" s="12">
        <v>17</v>
      </c>
      <c r="D40" s="8">
        <v>1.49</v>
      </c>
      <c r="E40" s="12">
        <v>6</v>
      </c>
      <c r="F40" s="8">
        <v>0.95</v>
      </c>
      <c r="G40" s="12">
        <v>11</v>
      </c>
      <c r="H40" s="8">
        <v>2.1800000000000002</v>
      </c>
      <c r="I40" s="12">
        <v>0</v>
      </c>
    </row>
    <row r="41" spans="2:9" ht="15" customHeight="1" x14ac:dyDescent="0.2">
      <c r="B41" t="s">
        <v>103</v>
      </c>
      <c r="C41" s="12">
        <v>17</v>
      </c>
      <c r="D41" s="8">
        <v>1.49</v>
      </c>
      <c r="E41" s="12">
        <v>0</v>
      </c>
      <c r="F41" s="8">
        <v>0</v>
      </c>
      <c r="G41" s="12">
        <v>17</v>
      </c>
      <c r="H41" s="8">
        <v>3.37</v>
      </c>
      <c r="I41" s="12">
        <v>0</v>
      </c>
    </row>
    <row r="42" spans="2:9" ht="15" customHeight="1" x14ac:dyDescent="0.2">
      <c r="B42" t="s">
        <v>130</v>
      </c>
      <c r="C42" s="12">
        <v>17</v>
      </c>
      <c r="D42" s="8">
        <v>1.49</v>
      </c>
      <c r="E42" s="12">
        <v>9</v>
      </c>
      <c r="F42" s="8">
        <v>1.43</v>
      </c>
      <c r="G42" s="12">
        <v>8</v>
      </c>
      <c r="H42" s="8">
        <v>1.58</v>
      </c>
      <c r="I42" s="12">
        <v>0</v>
      </c>
    </row>
    <row r="43" spans="2:9" ht="15" customHeight="1" x14ac:dyDescent="0.2">
      <c r="B43" t="s">
        <v>112</v>
      </c>
      <c r="C43" s="12">
        <v>13</v>
      </c>
      <c r="D43" s="8">
        <v>1.1399999999999999</v>
      </c>
      <c r="E43" s="12">
        <v>7</v>
      </c>
      <c r="F43" s="8">
        <v>1.1100000000000001</v>
      </c>
      <c r="G43" s="12">
        <v>6</v>
      </c>
      <c r="H43" s="8">
        <v>1.19</v>
      </c>
      <c r="I43" s="12">
        <v>0</v>
      </c>
    </row>
    <row r="46" spans="2:9" ht="33" customHeight="1" x14ac:dyDescent="0.2">
      <c r="B46" t="s">
        <v>273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160</v>
      </c>
      <c r="C47" s="12">
        <v>105</v>
      </c>
      <c r="D47" s="8">
        <v>9.2100000000000009</v>
      </c>
      <c r="E47" s="12">
        <v>67</v>
      </c>
      <c r="F47" s="8">
        <v>10.65</v>
      </c>
      <c r="G47" s="12">
        <v>38</v>
      </c>
      <c r="H47" s="8">
        <v>7.52</v>
      </c>
      <c r="I47" s="12">
        <v>0</v>
      </c>
    </row>
    <row r="48" spans="2:9" ht="15" customHeight="1" x14ac:dyDescent="0.2">
      <c r="B48" t="s">
        <v>169</v>
      </c>
      <c r="C48" s="12">
        <v>61</v>
      </c>
      <c r="D48" s="8">
        <v>5.35</v>
      </c>
      <c r="E48" s="12">
        <v>57</v>
      </c>
      <c r="F48" s="8">
        <v>9.06</v>
      </c>
      <c r="G48" s="12">
        <v>4</v>
      </c>
      <c r="H48" s="8">
        <v>0.79</v>
      </c>
      <c r="I48" s="12">
        <v>0</v>
      </c>
    </row>
    <row r="49" spans="2:9" ht="15" customHeight="1" x14ac:dyDescent="0.2">
      <c r="B49" t="s">
        <v>161</v>
      </c>
      <c r="C49" s="12">
        <v>55</v>
      </c>
      <c r="D49" s="8">
        <v>4.82</v>
      </c>
      <c r="E49" s="12">
        <v>51</v>
      </c>
      <c r="F49" s="8">
        <v>8.11</v>
      </c>
      <c r="G49" s="12">
        <v>4</v>
      </c>
      <c r="H49" s="8">
        <v>0.79</v>
      </c>
      <c r="I49" s="12">
        <v>0</v>
      </c>
    </row>
    <row r="50" spans="2:9" ht="15" customHeight="1" x14ac:dyDescent="0.2">
      <c r="B50" t="s">
        <v>165</v>
      </c>
      <c r="C50" s="12">
        <v>35</v>
      </c>
      <c r="D50" s="8">
        <v>3.07</v>
      </c>
      <c r="E50" s="12">
        <v>35</v>
      </c>
      <c r="F50" s="8">
        <v>5.56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159</v>
      </c>
      <c r="C51" s="12">
        <v>33</v>
      </c>
      <c r="D51" s="8">
        <v>2.89</v>
      </c>
      <c r="E51" s="12">
        <v>16</v>
      </c>
      <c r="F51" s="8">
        <v>2.54</v>
      </c>
      <c r="G51" s="12">
        <v>17</v>
      </c>
      <c r="H51" s="8">
        <v>3.37</v>
      </c>
      <c r="I51" s="12">
        <v>0</v>
      </c>
    </row>
    <row r="52" spans="2:9" ht="15" customHeight="1" x14ac:dyDescent="0.2">
      <c r="B52" t="s">
        <v>170</v>
      </c>
      <c r="C52" s="12">
        <v>30</v>
      </c>
      <c r="D52" s="8">
        <v>2.63</v>
      </c>
      <c r="E52" s="12">
        <v>22</v>
      </c>
      <c r="F52" s="8">
        <v>3.5</v>
      </c>
      <c r="G52" s="12">
        <v>8</v>
      </c>
      <c r="H52" s="8">
        <v>1.58</v>
      </c>
      <c r="I52" s="12">
        <v>0</v>
      </c>
    </row>
    <row r="53" spans="2:9" ht="15" customHeight="1" x14ac:dyDescent="0.2">
      <c r="B53" t="s">
        <v>157</v>
      </c>
      <c r="C53" s="12">
        <v>27</v>
      </c>
      <c r="D53" s="8">
        <v>2.37</v>
      </c>
      <c r="E53" s="12">
        <v>18</v>
      </c>
      <c r="F53" s="8">
        <v>2.86</v>
      </c>
      <c r="G53" s="12">
        <v>9</v>
      </c>
      <c r="H53" s="8">
        <v>1.78</v>
      </c>
      <c r="I53" s="12">
        <v>0</v>
      </c>
    </row>
    <row r="54" spans="2:9" ht="15" customHeight="1" x14ac:dyDescent="0.2">
      <c r="B54" t="s">
        <v>171</v>
      </c>
      <c r="C54" s="12">
        <v>24</v>
      </c>
      <c r="D54" s="8">
        <v>2.11</v>
      </c>
      <c r="E54" s="12">
        <v>18</v>
      </c>
      <c r="F54" s="8">
        <v>2.86</v>
      </c>
      <c r="G54" s="12">
        <v>6</v>
      </c>
      <c r="H54" s="8">
        <v>1.19</v>
      </c>
      <c r="I54" s="12">
        <v>0</v>
      </c>
    </row>
    <row r="55" spans="2:9" ht="15" customHeight="1" x14ac:dyDescent="0.2">
      <c r="B55" t="s">
        <v>167</v>
      </c>
      <c r="C55" s="12">
        <v>23</v>
      </c>
      <c r="D55" s="8">
        <v>2.02</v>
      </c>
      <c r="E55" s="12">
        <v>23</v>
      </c>
      <c r="F55" s="8">
        <v>3.66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210</v>
      </c>
      <c r="C56" s="12">
        <v>22</v>
      </c>
      <c r="D56" s="8">
        <v>1.93</v>
      </c>
      <c r="E56" s="12">
        <v>4</v>
      </c>
      <c r="F56" s="8">
        <v>0.64</v>
      </c>
      <c r="G56" s="12">
        <v>18</v>
      </c>
      <c r="H56" s="8">
        <v>3.56</v>
      </c>
      <c r="I56" s="12">
        <v>0</v>
      </c>
    </row>
    <row r="57" spans="2:9" ht="15" customHeight="1" x14ac:dyDescent="0.2">
      <c r="B57" t="s">
        <v>168</v>
      </c>
      <c r="C57" s="12">
        <v>22</v>
      </c>
      <c r="D57" s="8">
        <v>1.93</v>
      </c>
      <c r="E57" s="12">
        <v>21</v>
      </c>
      <c r="F57" s="8">
        <v>3.34</v>
      </c>
      <c r="G57" s="12">
        <v>1</v>
      </c>
      <c r="H57" s="8">
        <v>0.2</v>
      </c>
      <c r="I57" s="12">
        <v>0</v>
      </c>
    </row>
    <row r="58" spans="2:9" ht="15" customHeight="1" x14ac:dyDescent="0.2">
      <c r="B58" t="s">
        <v>190</v>
      </c>
      <c r="C58" s="12">
        <v>20</v>
      </c>
      <c r="D58" s="8">
        <v>1.75</v>
      </c>
      <c r="E58" s="12">
        <v>3</v>
      </c>
      <c r="F58" s="8">
        <v>0.48</v>
      </c>
      <c r="G58" s="12">
        <v>17</v>
      </c>
      <c r="H58" s="8">
        <v>3.37</v>
      </c>
      <c r="I58" s="12">
        <v>0</v>
      </c>
    </row>
    <row r="59" spans="2:9" ht="15" customHeight="1" x14ac:dyDescent="0.2">
      <c r="B59" t="s">
        <v>152</v>
      </c>
      <c r="C59" s="12">
        <v>20</v>
      </c>
      <c r="D59" s="8">
        <v>1.75</v>
      </c>
      <c r="E59" s="12">
        <v>3</v>
      </c>
      <c r="F59" s="8">
        <v>0.48</v>
      </c>
      <c r="G59" s="12">
        <v>17</v>
      </c>
      <c r="H59" s="8">
        <v>3.37</v>
      </c>
      <c r="I59" s="12">
        <v>0</v>
      </c>
    </row>
    <row r="60" spans="2:9" ht="15" customHeight="1" x14ac:dyDescent="0.2">
      <c r="B60" t="s">
        <v>166</v>
      </c>
      <c r="C60" s="12">
        <v>19</v>
      </c>
      <c r="D60" s="8">
        <v>1.67</v>
      </c>
      <c r="E60" s="12">
        <v>19</v>
      </c>
      <c r="F60" s="8">
        <v>3.02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199</v>
      </c>
      <c r="C61" s="12">
        <v>17</v>
      </c>
      <c r="D61" s="8">
        <v>1.49</v>
      </c>
      <c r="E61" s="12">
        <v>12</v>
      </c>
      <c r="F61" s="8">
        <v>1.91</v>
      </c>
      <c r="G61" s="12">
        <v>5</v>
      </c>
      <c r="H61" s="8">
        <v>0.99</v>
      </c>
      <c r="I61" s="12">
        <v>0</v>
      </c>
    </row>
    <row r="62" spans="2:9" ht="15" customHeight="1" x14ac:dyDescent="0.2">
      <c r="B62" t="s">
        <v>153</v>
      </c>
      <c r="C62" s="12">
        <v>15</v>
      </c>
      <c r="D62" s="8">
        <v>1.32</v>
      </c>
      <c r="E62" s="12">
        <v>5</v>
      </c>
      <c r="F62" s="8">
        <v>0.79</v>
      </c>
      <c r="G62" s="12">
        <v>10</v>
      </c>
      <c r="H62" s="8">
        <v>1.98</v>
      </c>
      <c r="I62" s="12">
        <v>0</v>
      </c>
    </row>
    <row r="63" spans="2:9" ht="15" customHeight="1" x14ac:dyDescent="0.2">
      <c r="B63" t="s">
        <v>174</v>
      </c>
      <c r="C63" s="12">
        <v>15</v>
      </c>
      <c r="D63" s="8">
        <v>1.32</v>
      </c>
      <c r="E63" s="12">
        <v>5</v>
      </c>
      <c r="F63" s="8">
        <v>0.79</v>
      </c>
      <c r="G63" s="12">
        <v>10</v>
      </c>
      <c r="H63" s="8">
        <v>1.98</v>
      </c>
      <c r="I63" s="12">
        <v>0</v>
      </c>
    </row>
    <row r="64" spans="2:9" ht="15" customHeight="1" x14ac:dyDescent="0.2">
      <c r="B64" t="s">
        <v>196</v>
      </c>
      <c r="C64" s="12">
        <v>15</v>
      </c>
      <c r="D64" s="8">
        <v>1.32</v>
      </c>
      <c r="E64" s="12">
        <v>7</v>
      </c>
      <c r="F64" s="8">
        <v>1.1100000000000001</v>
      </c>
      <c r="G64" s="12">
        <v>8</v>
      </c>
      <c r="H64" s="8">
        <v>1.58</v>
      </c>
      <c r="I64" s="12">
        <v>0</v>
      </c>
    </row>
    <row r="65" spans="2:9" ht="15" customHeight="1" x14ac:dyDescent="0.2">
      <c r="B65" t="s">
        <v>156</v>
      </c>
      <c r="C65" s="12">
        <v>14</v>
      </c>
      <c r="D65" s="8">
        <v>1.23</v>
      </c>
      <c r="E65" s="12">
        <v>11</v>
      </c>
      <c r="F65" s="8">
        <v>1.75</v>
      </c>
      <c r="G65" s="12">
        <v>3</v>
      </c>
      <c r="H65" s="8">
        <v>0.59</v>
      </c>
      <c r="I65" s="12">
        <v>0</v>
      </c>
    </row>
    <row r="66" spans="2:9" ht="15" customHeight="1" x14ac:dyDescent="0.2">
      <c r="B66" t="s">
        <v>164</v>
      </c>
      <c r="C66" s="12">
        <v>14</v>
      </c>
      <c r="D66" s="8">
        <v>1.23</v>
      </c>
      <c r="E66" s="12">
        <v>13</v>
      </c>
      <c r="F66" s="8">
        <v>2.0699999999999998</v>
      </c>
      <c r="G66" s="12">
        <v>1</v>
      </c>
      <c r="H66" s="8">
        <v>0.2</v>
      </c>
      <c r="I66" s="12">
        <v>0</v>
      </c>
    </row>
    <row r="68" spans="2:9" ht="15" customHeight="1" x14ac:dyDescent="0.2">
      <c r="B68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DC794-67EA-4103-82DD-FFF760F0CF2F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336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180</v>
      </c>
      <c r="D6" s="8">
        <v>15.8</v>
      </c>
      <c r="E6" s="12">
        <v>56</v>
      </c>
      <c r="F6" s="8">
        <v>9.26</v>
      </c>
      <c r="G6" s="12">
        <v>124</v>
      </c>
      <c r="H6" s="8">
        <v>23.48</v>
      </c>
      <c r="I6" s="12">
        <v>0</v>
      </c>
    </row>
    <row r="7" spans="2:9" ht="15" customHeight="1" x14ac:dyDescent="0.2">
      <c r="B7" t="s">
        <v>77</v>
      </c>
      <c r="C7" s="12">
        <v>89</v>
      </c>
      <c r="D7" s="8">
        <v>7.81</v>
      </c>
      <c r="E7" s="12">
        <v>22</v>
      </c>
      <c r="F7" s="8">
        <v>3.64</v>
      </c>
      <c r="G7" s="12">
        <v>67</v>
      </c>
      <c r="H7" s="8">
        <v>12.69</v>
      </c>
      <c r="I7" s="12">
        <v>0</v>
      </c>
    </row>
    <row r="8" spans="2:9" ht="15" customHeight="1" x14ac:dyDescent="0.2">
      <c r="B8" t="s">
        <v>78</v>
      </c>
      <c r="C8" s="12">
        <v>2</v>
      </c>
      <c r="D8" s="8">
        <v>0.18</v>
      </c>
      <c r="E8" s="12">
        <v>0</v>
      </c>
      <c r="F8" s="8">
        <v>0</v>
      </c>
      <c r="G8" s="12">
        <v>2</v>
      </c>
      <c r="H8" s="8">
        <v>0.38</v>
      </c>
      <c r="I8" s="12">
        <v>0</v>
      </c>
    </row>
    <row r="9" spans="2:9" ht="15" customHeight="1" x14ac:dyDescent="0.2">
      <c r="B9" t="s">
        <v>79</v>
      </c>
      <c r="C9" s="12">
        <v>13</v>
      </c>
      <c r="D9" s="8">
        <v>1.1399999999999999</v>
      </c>
      <c r="E9" s="12">
        <v>1</v>
      </c>
      <c r="F9" s="8">
        <v>0.17</v>
      </c>
      <c r="G9" s="12">
        <v>12</v>
      </c>
      <c r="H9" s="8">
        <v>2.27</v>
      </c>
      <c r="I9" s="12">
        <v>0</v>
      </c>
    </row>
    <row r="10" spans="2:9" ht="15" customHeight="1" x14ac:dyDescent="0.2">
      <c r="B10" t="s">
        <v>80</v>
      </c>
      <c r="C10" s="12">
        <v>13</v>
      </c>
      <c r="D10" s="8">
        <v>1.1399999999999999</v>
      </c>
      <c r="E10" s="12">
        <v>3</v>
      </c>
      <c r="F10" s="8">
        <v>0.5</v>
      </c>
      <c r="G10" s="12">
        <v>10</v>
      </c>
      <c r="H10" s="8">
        <v>1.89</v>
      </c>
      <c r="I10" s="12">
        <v>0</v>
      </c>
    </row>
    <row r="11" spans="2:9" ht="15" customHeight="1" x14ac:dyDescent="0.2">
      <c r="B11" t="s">
        <v>81</v>
      </c>
      <c r="C11" s="12">
        <v>219</v>
      </c>
      <c r="D11" s="8">
        <v>19.23</v>
      </c>
      <c r="E11" s="12">
        <v>130</v>
      </c>
      <c r="F11" s="8">
        <v>21.49</v>
      </c>
      <c r="G11" s="12">
        <v>89</v>
      </c>
      <c r="H11" s="8">
        <v>16.86</v>
      </c>
      <c r="I11" s="12">
        <v>0</v>
      </c>
    </row>
    <row r="12" spans="2:9" ht="15" customHeight="1" x14ac:dyDescent="0.2">
      <c r="B12" t="s">
        <v>82</v>
      </c>
      <c r="C12" s="12">
        <v>6</v>
      </c>
      <c r="D12" s="8">
        <v>0.53</v>
      </c>
      <c r="E12" s="12">
        <v>0</v>
      </c>
      <c r="F12" s="8">
        <v>0</v>
      </c>
      <c r="G12" s="12">
        <v>6</v>
      </c>
      <c r="H12" s="8">
        <v>1.1399999999999999</v>
      </c>
      <c r="I12" s="12">
        <v>0</v>
      </c>
    </row>
    <row r="13" spans="2:9" ht="15" customHeight="1" x14ac:dyDescent="0.2">
      <c r="B13" t="s">
        <v>83</v>
      </c>
      <c r="C13" s="12">
        <v>113</v>
      </c>
      <c r="D13" s="8">
        <v>9.92</v>
      </c>
      <c r="E13" s="12">
        <v>26</v>
      </c>
      <c r="F13" s="8">
        <v>4.3</v>
      </c>
      <c r="G13" s="12">
        <v>87</v>
      </c>
      <c r="H13" s="8">
        <v>16.48</v>
      </c>
      <c r="I13" s="12">
        <v>0</v>
      </c>
    </row>
    <row r="14" spans="2:9" ht="15" customHeight="1" x14ac:dyDescent="0.2">
      <c r="B14" t="s">
        <v>84</v>
      </c>
      <c r="C14" s="12">
        <v>67</v>
      </c>
      <c r="D14" s="8">
        <v>5.88</v>
      </c>
      <c r="E14" s="12">
        <v>39</v>
      </c>
      <c r="F14" s="8">
        <v>6.45</v>
      </c>
      <c r="G14" s="12">
        <v>28</v>
      </c>
      <c r="H14" s="8">
        <v>5.3</v>
      </c>
      <c r="I14" s="12">
        <v>0</v>
      </c>
    </row>
    <row r="15" spans="2:9" ht="15" customHeight="1" x14ac:dyDescent="0.2">
      <c r="B15" t="s">
        <v>85</v>
      </c>
      <c r="C15" s="12">
        <v>106</v>
      </c>
      <c r="D15" s="8">
        <v>9.31</v>
      </c>
      <c r="E15" s="12">
        <v>85</v>
      </c>
      <c r="F15" s="8">
        <v>14.05</v>
      </c>
      <c r="G15" s="12">
        <v>21</v>
      </c>
      <c r="H15" s="8">
        <v>3.98</v>
      </c>
      <c r="I15" s="12">
        <v>0</v>
      </c>
    </row>
    <row r="16" spans="2:9" ht="15" customHeight="1" x14ac:dyDescent="0.2">
      <c r="B16" t="s">
        <v>86</v>
      </c>
      <c r="C16" s="12">
        <v>126</v>
      </c>
      <c r="D16" s="8">
        <v>11.06</v>
      </c>
      <c r="E16" s="12">
        <v>104</v>
      </c>
      <c r="F16" s="8">
        <v>17.190000000000001</v>
      </c>
      <c r="G16" s="12">
        <v>22</v>
      </c>
      <c r="H16" s="8">
        <v>4.17</v>
      </c>
      <c r="I16" s="12">
        <v>0</v>
      </c>
    </row>
    <row r="17" spans="2:9" ht="15" customHeight="1" x14ac:dyDescent="0.2">
      <c r="B17" t="s">
        <v>87</v>
      </c>
      <c r="C17" s="12">
        <v>87</v>
      </c>
      <c r="D17" s="8">
        <v>7.64</v>
      </c>
      <c r="E17" s="12">
        <v>65</v>
      </c>
      <c r="F17" s="8">
        <v>10.74</v>
      </c>
      <c r="G17" s="12">
        <v>19</v>
      </c>
      <c r="H17" s="8">
        <v>3.6</v>
      </c>
      <c r="I17" s="12">
        <v>0</v>
      </c>
    </row>
    <row r="18" spans="2:9" ht="15" customHeight="1" x14ac:dyDescent="0.2">
      <c r="B18" t="s">
        <v>88</v>
      </c>
      <c r="C18" s="12">
        <v>77</v>
      </c>
      <c r="D18" s="8">
        <v>6.76</v>
      </c>
      <c r="E18" s="12">
        <v>55</v>
      </c>
      <c r="F18" s="8">
        <v>9.09</v>
      </c>
      <c r="G18" s="12">
        <v>22</v>
      </c>
      <c r="H18" s="8">
        <v>4.17</v>
      </c>
      <c r="I18" s="12">
        <v>0</v>
      </c>
    </row>
    <row r="19" spans="2:9" ht="15" customHeight="1" x14ac:dyDescent="0.2">
      <c r="B19" t="s">
        <v>89</v>
      </c>
      <c r="C19" s="12">
        <v>41</v>
      </c>
      <c r="D19" s="8">
        <v>3.6</v>
      </c>
      <c r="E19" s="12">
        <v>19</v>
      </c>
      <c r="F19" s="8">
        <v>3.14</v>
      </c>
      <c r="G19" s="12">
        <v>19</v>
      </c>
      <c r="H19" s="8">
        <v>3.6</v>
      </c>
      <c r="I19" s="12">
        <v>2</v>
      </c>
    </row>
    <row r="20" spans="2:9" ht="15" customHeight="1" x14ac:dyDescent="0.2">
      <c r="B20" s="9" t="s">
        <v>271</v>
      </c>
      <c r="C20" s="12">
        <f>SUM(LTBL_27230[総数／事業所数])</f>
        <v>1139</v>
      </c>
      <c r="E20" s="12">
        <f>SUBTOTAL(109,LTBL_27230[個人／事業所数])</f>
        <v>605</v>
      </c>
      <c r="G20" s="12">
        <f>SUBTOTAL(109,LTBL_27230[法人／事業所数])</f>
        <v>528</v>
      </c>
      <c r="I20" s="12">
        <f>SUBTOTAL(109,LTBL_27230[法人以外の団体／事業所数])</f>
        <v>2</v>
      </c>
    </row>
    <row r="21" spans="2:9" ht="15" customHeight="1" x14ac:dyDescent="0.2">
      <c r="E21" s="11">
        <f>LTBL_27230[[#Totals],[個人／事業所数]]/LTBL_27230[[#Totals],[総数／事業所数]]</f>
        <v>0.5311676909569798</v>
      </c>
      <c r="G21" s="11">
        <f>LTBL_27230[[#Totals],[法人／事業所数]]/LTBL_27230[[#Totals],[総数／事業所数]]</f>
        <v>0.46356453028972783</v>
      </c>
      <c r="I21" s="11">
        <f>LTBL_27230[[#Totals],[法人以外の団体／事業所数]]/LTBL_27230[[#Totals],[総数／事業所数]]</f>
        <v>1.7559262510974539E-3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114</v>
      </c>
      <c r="C24" s="12">
        <v>108</v>
      </c>
      <c r="D24" s="8">
        <v>9.48</v>
      </c>
      <c r="E24" s="12">
        <v>96</v>
      </c>
      <c r="F24" s="8">
        <v>15.87</v>
      </c>
      <c r="G24" s="12">
        <v>12</v>
      </c>
      <c r="H24" s="8">
        <v>2.27</v>
      </c>
      <c r="I24" s="12">
        <v>0</v>
      </c>
    </row>
    <row r="25" spans="2:9" ht="15" customHeight="1" x14ac:dyDescent="0.2">
      <c r="B25" t="s">
        <v>113</v>
      </c>
      <c r="C25" s="12">
        <v>94</v>
      </c>
      <c r="D25" s="8">
        <v>8.25</v>
      </c>
      <c r="E25" s="12">
        <v>82</v>
      </c>
      <c r="F25" s="8">
        <v>13.55</v>
      </c>
      <c r="G25" s="12">
        <v>12</v>
      </c>
      <c r="H25" s="8">
        <v>2.27</v>
      </c>
      <c r="I25" s="12">
        <v>0</v>
      </c>
    </row>
    <row r="26" spans="2:9" ht="15" customHeight="1" x14ac:dyDescent="0.2">
      <c r="B26" t="s">
        <v>110</v>
      </c>
      <c r="C26" s="12">
        <v>89</v>
      </c>
      <c r="D26" s="8">
        <v>7.81</v>
      </c>
      <c r="E26" s="12">
        <v>24</v>
      </c>
      <c r="F26" s="8">
        <v>3.97</v>
      </c>
      <c r="G26" s="12">
        <v>65</v>
      </c>
      <c r="H26" s="8">
        <v>12.31</v>
      </c>
      <c r="I26" s="12">
        <v>0</v>
      </c>
    </row>
    <row r="27" spans="2:9" ht="15" customHeight="1" x14ac:dyDescent="0.2">
      <c r="B27" t="s">
        <v>115</v>
      </c>
      <c r="C27" s="12">
        <v>87</v>
      </c>
      <c r="D27" s="8">
        <v>7.64</v>
      </c>
      <c r="E27" s="12">
        <v>65</v>
      </c>
      <c r="F27" s="8">
        <v>10.74</v>
      </c>
      <c r="G27" s="12">
        <v>19</v>
      </c>
      <c r="H27" s="8">
        <v>3.6</v>
      </c>
      <c r="I27" s="12">
        <v>0</v>
      </c>
    </row>
    <row r="28" spans="2:9" ht="15" customHeight="1" x14ac:dyDescent="0.2">
      <c r="B28" t="s">
        <v>98</v>
      </c>
      <c r="C28" s="12">
        <v>77</v>
      </c>
      <c r="D28" s="8">
        <v>6.76</v>
      </c>
      <c r="E28" s="12">
        <v>19</v>
      </c>
      <c r="F28" s="8">
        <v>3.14</v>
      </c>
      <c r="G28" s="12">
        <v>58</v>
      </c>
      <c r="H28" s="8">
        <v>10.98</v>
      </c>
      <c r="I28" s="12">
        <v>0</v>
      </c>
    </row>
    <row r="29" spans="2:9" ht="15" customHeight="1" x14ac:dyDescent="0.2">
      <c r="B29" t="s">
        <v>108</v>
      </c>
      <c r="C29" s="12">
        <v>67</v>
      </c>
      <c r="D29" s="8">
        <v>5.88</v>
      </c>
      <c r="E29" s="12">
        <v>42</v>
      </c>
      <c r="F29" s="8">
        <v>6.94</v>
      </c>
      <c r="G29" s="12">
        <v>25</v>
      </c>
      <c r="H29" s="8">
        <v>4.7300000000000004</v>
      </c>
      <c r="I29" s="12">
        <v>0</v>
      </c>
    </row>
    <row r="30" spans="2:9" ht="15" customHeight="1" x14ac:dyDescent="0.2">
      <c r="B30" t="s">
        <v>116</v>
      </c>
      <c r="C30" s="12">
        <v>59</v>
      </c>
      <c r="D30" s="8">
        <v>5.18</v>
      </c>
      <c r="E30" s="12">
        <v>55</v>
      </c>
      <c r="F30" s="8">
        <v>9.09</v>
      </c>
      <c r="G30" s="12">
        <v>4</v>
      </c>
      <c r="H30" s="8">
        <v>0.76</v>
      </c>
      <c r="I30" s="12">
        <v>0</v>
      </c>
    </row>
    <row r="31" spans="2:9" ht="15" customHeight="1" x14ac:dyDescent="0.2">
      <c r="B31" t="s">
        <v>99</v>
      </c>
      <c r="C31" s="12">
        <v>52</v>
      </c>
      <c r="D31" s="8">
        <v>4.57</v>
      </c>
      <c r="E31" s="12">
        <v>26</v>
      </c>
      <c r="F31" s="8">
        <v>4.3</v>
      </c>
      <c r="G31" s="12">
        <v>26</v>
      </c>
      <c r="H31" s="8">
        <v>4.92</v>
      </c>
      <c r="I31" s="12">
        <v>0</v>
      </c>
    </row>
    <row r="32" spans="2:9" ht="15" customHeight="1" x14ac:dyDescent="0.2">
      <c r="B32" t="s">
        <v>100</v>
      </c>
      <c r="C32" s="12">
        <v>51</v>
      </c>
      <c r="D32" s="8">
        <v>4.4800000000000004</v>
      </c>
      <c r="E32" s="12">
        <v>11</v>
      </c>
      <c r="F32" s="8">
        <v>1.82</v>
      </c>
      <c r="G32" s="12">
        <v>40</v>
      </c>
      <c r="H32" s="8">
        <v>7.58</v>
      </c>
      <c r="I32" s="12">
        <v>0</v>
      </c>
    </row>
    <row r="33" spans="2:9" ht="15" customHeight="1" x14ac:dyDescent="0.2">
      <c r="B33" t="s">
        <v>107</v>
      </c>
      <c r="C33" s="12">
        <v>41</v>
      </c>
      <c r="D33" s="8">
        <v>3.6</v>
      </c>
      <c r="E33" s="12">
        <v>27</v>
      </c>
      <c r="F33" s="8">
        <v>4.46</v>
      </c>
      <c r="G33" s="12">
        <v>14</v>
      </c>
      <c r="H33" s="8">
        <v>2.65</v>
      </c>
      <c r="I33" s="12">
        <v>0</v>
      </c>
    </row>
    <row r="34" spans="2:9" ht="15" customHeight="1" x14ac:dyDescent="0.2">
      <c r="B34" t="s">
        <v>106</v>
      </c>
      <c r="C34" s="12">
        <v>39</v>
      </c>
      <c r="D34" s="8">
        <v>3.42</v>
      </c>
      <c r="E34" s="12">
        <v>34</v>
      </c>
      <c r="F34" s="8">
        <v>5.62</v>
      </c>
      <c r="G34" s="12">
        <v>5</v>
      </c>
      <c r="H34" s="8">
        <v>0.95</v>
      </c>
      <c r="I34" s="12">
        <v>0</v>
      </c>
    </row>
    <row r="35" spans="2:9" ht="15" customHeight="1" x14ac:dyDescent="0.2">
      <c r="B35" t="s">
        <v>111</v>
      </c>
      <c r="C35" s="12">
        <v>34</v>
      </c>
      <c r="D35" s="8">
        <v>2.99</v>
      </c>
      <c r="E35" s="12">
        <v>18</v>
      </c>
      <c r="F35" s="8">
        <v>2.98</v>
      </c>
      <c r="G35" s="12">
        <v>16</v>
      </c>
      <c r="H35" s="8">
        <v>3.03</v>
      </c>
      <c r="I35" s="12">
        <v>0</v>
      </c>
    </row>
    <row r="36" spans="2:9" ht="15" customHeight="1" x14ac:dyDescent="0.2">
      <c r="B36" t="s">
        <v>112</v>
      </c>
      <c r="C36" s="12">
        <v>31</v>
      </c>
      <c r="D36" s="8">
        <v>2.72</v>
      </c>
      <c r="E36" s="12">
        <v>20</v>
      </c>
      <c r="F36" s="8">
        <v>3.31</v>
      </c>
      <c r="G36" s="12">
        <v>11</v>
      </c>
      <c r="H36" s="8">
        <v>2.08</v>
      </c>
      <c r="I36" s="12">
        <v>0</v>
      </c>
    </row>
    <row r="37" spans="2:9" ht="15" customHeight="1" x14ac:dyDescent="0.2">
      <c r="B37" t="s">
        <v>109</v>
      </c>
      <c r="C37" s="12">
        <v>21</v>
      </c>
      <c r="D37" s="8">
        <v>1.84</v>
      </c>
      <c r="E37" s="12">
        <v>2</v>
      </c>
      <c r="F37" s="8">
        <v>0.33</v>
      </c>
      <c r="G37" s="12">
        <v>19</v>
      </c>
      <c r="H37" s="8">
        <v>3.6</v>
      </c>
      <c r="I37" s="12">
        <v>0</v>
      </c>
    </row>
    <row r="38" spans="2:9" ht="15" customHeight="1" x14ac:dyDescent="0.2">
      <c r="B38" t="s">
        <v>105</v>
      </c>
      <c r="C38" s="12">
        <v>20</v>
      </c>
      <c r="D38" s="8">
        <v>1.76</v>
      </c>
      <c r="E38" s="12">
        <v>13</v>
      </c>
      <c r="F38" s="8">
        <v>2.15</v>
      </c>
      <c r="G38" s="12">
        <v>7</v>
      </c>
      <c r="H38" s="8">
        <v>1.33</v>
      </c>
      <c r="I38" s="12">
        <v>0</v>
      </c>
    </row>
    <row r="39" spans="2:9" ht="15" customHeight="1" x14ac:dyDescent="0.2">
      <c r="B39" t="s">
        <v>117</v>
      </c>
      <c r="C39" s="12">
        <v>18</v>
      </c>
      <c r="D39" s="8">
        <v>1.58</v>
      </c>
      <c r="E39" s="12">
        <v>0</v>
      </c>
      <c r="F39" s="8">
        <v>0</v>
      </c>
      <c r="G39" s="12">
        <v>18</v>
      </c>
      <c r="H39" s="8">
        <v>3.41</v>
      </c>
      <c r="I39" s="12">
        <v>0</v>
      </c>
    </row>
    <row r="40" spans="2:9" ht="15" customHeight="1" x14ac:dyDescent="0.2">
      <c r="B40" t="s">
        <v>129</v>
      </c>
      <c r="C40" s="12">
        <v>15</v>
      </c>
      <c r="D40" s="8">
        <v>1.32</v>
      </c>
      <c r="E40" s="12">
        <v>12</v>
      </c>
      <c r="F40" s="8">
        <v>1.98</v>
      </c>
      <c r="G40" s="12">
        <v>3</v>
      </c>
      <c r="H40" s="8">
        <v>0.56999999999999995</v>
      </c>
      <c r="I40" s="12">
        <v>0</v>
      </c>
    </row>
    <row r="41" spans="2:9" ht="15" customHeight="1" x14ac:dyDescent="0.2">
      <c r="B41" t="s">
        <v>127</v>
      </c>
      <c r="C41" s="12">
        <v>14</v>
      </c>
      <c r="D41" s="8">
        <v>1.23</v>
      </c>
      <c r="E41" s="12">
        <v>3</v>
      </c>
      <c r="F41" s="8">
        <v>0.5</v>
      </c>
      <c r="G41" s="12">
        <v>11</v>
      </c>
      <c r="H41" s="8">
        <v>2.08</v>
      </c>
      <c r="I41" s="12">
        <v>0</v>
      </c>
    </row>
    <row r="42" spans="2:9" ht="15" customHeight="1" x14ac:dyDescent="0.2">
      <c r="B42" t="s">
        <v>130</v>
      </c>
      <c r="C42" s="12">
        <v>14</v>
      </c>
      <c r="D42" s="8">
        <v>1.23</v>
      </c>
      <c r="E42" s="12">
        <v>8</v>
      </c>
      <c r="F42" s="8">
        <v>1.32</v>
      </c>
      <c r="G42" s="12">
        <v>6</v>
      </c>
      <c r="H42" s="8">
        <v>1.1399999999999999</v>
      </c>
      <c r="I42" s="12">
        <v>0</v>
      </c>
    </row>
    <row r="43" spans="2:9" ht="15" customHeight="1" x14ac:dyDescent="0.2">
      <c r="B43" t="s">
        <v>135</v>
      </c>
      <c r="C43" s="12">
        <v>13</v>
      </c>
      <c r="D43" s="8">
        <v>1.1399999999999999</v>
      </c>
      <c r="E43" s="12">
        <v>2</v>
      </c>
      <c r="F43" s="8">
        <v>0.33</v>
      </c>
      <c r="G43" s="12">
        <v>11</v>
      </c>
      <c r="H43" s="8">
        <v>2.08</v>
      </c>
      <c r="I43" s="12">
        <v>0</v>
      </c>
    </row>
    <row r="46" spans="2:9" ht="33" customHeight="1" x14ac:dyDescent="0.2">
      <c r="B46" t="s">
        <v>273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169</v>
      </c>
      <c r="C47" s="12">
        <v>62</v>
      </c>
      <c r="D47" s="8">
        <v>5.44</v>
      </c>
      <c r="E47" s="12">
        <v>58</v>
      </c>
      <c r="F47" s="8">
        <v>9.59</v>
      </c>
      <c r="G47" s="12">
        <v>4</v>
      </c>
      <c r="H47" s="8">
        <v>0.76</v>
      </c>
      <c r="I47" s="12">
        <v>0</v>
      </c>
    </row>
    <row r="48" spans="2:9" ht="15" customHeight="1" x14ac:dyDescent="0.2">
      <c r="B48" t="s">
        <v>170</v>
      </c>
      <c r="C48" s="12">
        <v>59</v>
      </c>
      <c r="D48" s="8">
        <v>5.18</v>
      </c>
      <c r="E48" s="12">
        <v>49</v>
      </c>
      <c r="F48" s="8">
        <v>8.1</v>
      </c>
      <c r="G48" s="12">
        <v>10</v>
      </c>
      <c r="H48" s="8">
        <v>1.89</v>
      </c>
      <c r="I48" s="12">
        <v>0</v>
      </c>
    </row>
    <row r="49" spans="2:9" ht="15" customHeight="1" x14ac:dyDescent="0.2">
      <c r="B49" t="s">
        <v>171</v>
      </c>
      <c r="C49" s="12">
        <v>48</v>
      </c>
      <c r="D49" s="8">
        <v>4.21</v>
      </c>
      <c r="E49" s="12">
        <v>45</v>
      </c>
      <c r="F49" s="8">
        <v>7.44</v>
      </c>
      <c r="G49" s="12">
        <v>3</v>
      </c>
      <c r="H49" s="8">
        <v>0.56999999999999995</v>
      </c>
      <c r="I49" s="12">
        <v>0</v>
      </c>
    </row>
    <row r="50" spans="2:9" ht="15" customHeight="1" x14ac:dyDescent="0.2">
      <c r="B50" t="s">
        <v>160</v>
      </c>
      <c r="C50" s="12">
        <v>37</v>
      </c>
      <c r="D50" s="8">
        <v>3.25</v>
      </c>
      <c r="E50" s="12">
        <v>9</v>
      </c>
      <c r="F50" s="8">
        <v>1.49</v>
      </c>
      <c r="G50" s="12">
        <v>28</v>
      </c>
      <c r="H50" s="8">
        <v>5.3</v>
      </c>
      <c r="I50" s="12">
        <v>0</v>
      </c>
    </row>
    <row r="51" spans="2:9" ht="15" customHeight="1" x14ac:dyDescent="0.2">
      <c r="B51" t="s">
        <v>157</v>
      </c>
      <c r="C51" s="12">
        <v>30</v>
      </c>
      <c r="D51" s="8">
        <v>2.63</v>
      </c>
      <c r="E51" s="12">
        <v>21</v>
      </c>
      <c r="F51" s="8">
        <v>3.47</v>
      </c>
      <c r="G51" s="12">
        <v>9</v>
      </c>
      <c r="H51" s="8">
        <v>1.7</v>
      </c>
      <c r="I51" s="12">
        <v>0</v>
      </c>
    </row>
    <row r="52" spans="2:9" ht="15" customHeight="1" x14ac:dyDescent="0.2">
      <c r="B52" t="s">
        <v>153</v>
      </c>
      <c r="C52" s="12">
        <v>28</v>
      </c>
      <c r="D52" s="8">
        <v>2.46</v>
      </c>
      <c r="E52" s="12">
        <v>5</v>
      </c>
      <c r="F52" s="8">
        <v>0.83</v>
      </c>
      <c r="G52" s="12">
        <v>23</v>
      </c>
      <c r="H52" s="8">
        <v>4.3600000000000003</v>
      </c>
      <c r="I52" s="12">
        <v>0</v>
      </c>
    </row>
    <row r="53" spans="2:9" ht="15" customHeight="1" x14ac:dyDescent="0.2">
      <c r="B53" t="s">
        <v>167</v>
      </c>
      <c r="C53" s="12">
        <v>27</v>
      </c>
      <c r="D53" s="8">
        <v>2.37</v>
      </c>
      <c r="E53" s="12">
        <v>23</v>
      </c>
      <c r="F53" s="8">
        <v>3.8</v>
      </c>
      <c r="G53" s="12">
        <v>4</v>
      </c>
      <c r="H53" s="8">
        <v>0.76</v>
      </c>
      <c r="I53" s="12">
        <v>0</v>
      </c>
    </row>
    <row r="54" spans="2:9" ht="15" customHeight="1" x14ac:dyDescent="0.2">
      <c r="B54" t="s">
        <v>190</v>
      </c>
      <c r="C54" s="12">
        <v>26</v>
      </c>
      <c r="D54" s="8">
        <v>2.2799999999999998</v>
      </c>
      <c r="E54" s="12">
        <v>4</v>
      </c>
      <c r="F54" s="8">
        <v>0.66</v>
      </c>
      <c r="G54" s="12">
        <v>22</v>
      </c>
      <c r="H54" s="8">
        <v>4.17</v>
      </c>
      <c r="I54" s="12">
        <v>0</v>
      </c>
    </row>
    <row r="55" spans="2:9" ht="15" customHeight="1" x14ac:dyDescent="0.2">
      <c r="B55" t="s">
        <v>168</v>
      </c>
      <c r="C55" s="12">
        <v>25</v>
      </c>
      <c r="D55" s="8">
        <v>2.19</v>
      </c>
      <c r="E55" s="12">
        <v>25</v>
      </c>
      <c r="F55" s="8">
        <v>4.13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199</v>
      </c>
      <c r="C56" s="12">
        <v>24</v>
      </c>
      <c r="D56" s="8">
        <v>2.11</v>
      </c>
      <c r="E56" s="12">
        <v>16</v>
      </c>
      <c r="F56" s="8">
        <v>2.64</v>
      </c>
      <c r="G56" s="12">
        <v>8</v>
      </c>
      <c r="H56" s="8">
        <v>1.52</v>
      </c>
      <c r="I56" s="12">
        <v>0</v>
      </c>
    </row>
    <row r="57" spans="2:9" ht="15" customHeight="1" x14ac:dyDescent="0.2">
      <c r="B57" t="s">
        <v>215</v>
      </c>
      <c r="C57" s="12">
        <v>22</v>
      </c>
      <c r="D57" s="8">
        <v>1.93</v>
      </c>
      <c r="E57" s="12">
        <v>16</v>
      </c>
      <c r="F57" s="8">
        <v>2.64</v>
      </c>
      <c r="G57" s="12">
        <v>6</v>
      </c>
      <c r="H57" s="8">
        <v>1.1399999999999999</v>
      </c>
      <c r="I57" s="12">
        <v>0</v>
      </c>
    </row>
    <row r="58" spans="2:9" ht="15" customHeight="1" x14ac:dyDescent="0.2">
      <c r="B58" t="s">
        <v>165</v>
      </c>
      <c r="C58" s="12">
        <v>21</v>
      </c>
      <c r="D58" s="8">
        <v>1.84</v>
      </c>
      <c r="E58" s="12">
        <v>19</v>
      </c>
      <c r="F58" s="8">
        <v>3.14</v>
      </c>
      <c r="G58" s="12">
        <v>2</v>
      </c>
      <c r="H58" s="8">
        <v>0.38</v>
      </c>
      <c r="I58" s="12">
        <v>0</v>
      </c>
    </row>
    <row r="59" spans="2:9" ht="15" customHeight="1" x14ac:dyDescent="0.2">
      <c r="B59" t="s">
        <v>152</v>
      </c>
      <c r="C59" s="12">
        <v>19</v>
      </c>
      <c r="D59" s="8">
        <v>1.67</v>
      </c>
      <c r="E59" s="12">
        <v>7</v>
      </c>
      <c r="F59" s="8">
        <v>1.1599999999999999</v>
      </c>
      <c r="G59" s="12">
        <v>12</v>
      </c>
      <c r="H59" s="8">
        <v>2.27</v>
      </c>
      <c r="I59" s="12">
        <v>0</v>
      </c>
    </row>
    <row r="60" spans="2:9" ht="15" customHeight="1" x14ac:dyDescent="0.2">
      <c r="B60" t="s">
        <v>174</v>
      </c>
      <c r="C60" s="12">
        <v>19</v>
      </c>
      <c r="D60" s="8">
        <v>1.67</v>
      </c>
      <c r="E60" s="12">
        <v>6</v>
      </c>
      <c r="F60" s="8">
        <v>0.99</v>
      </c>
      <c r="G60" s="12">
        <v>13</v>
      </c>
      <c r="H60" s="8">
        <v>2.46</v>
      </c>
      <c r="I60" s="12">
        <v>0</v>
      </c>
    </row>
    <row r="61" spans="2:9" ht="15" customHeight="1" x14ac:dyDescent="0.2">
      <c r="B61" t="s">
        <v>161</v>
      </c>
      <c r="C61" s="12">
        <v>18</v>
      </c>
      <c r="D61" s="8">
        <v>1.58</v>
      </c>
      <c r="E61" s="12">
        <v>12</v>
      </c>
      <c r="F61" s="8">
        <v>1.98</v>
      </c>
      <c r="G61" s="12">
        <v>6</v>
      </c>
      <c r="H61" s="8">
        <v>1.1399999999999999</v>
      </c>
      <c r="I61" s="12">
        <v>0</v>
      </c>
    </row>
    <row r="62" spans="2:9" ht="15" customHeight="1" x14ac:dyDescent="0.2">
      <c r="B62" t="s">
        <v>159</v>
      </c>
      <c r="C62" s="12">
        <v>17</v>
      </c>
      <c r="D62" s="8">
        <v>1.49</v>
      </c>
      <c r="E62" s="12">
        <v>3</v>
      </c>
      <c r="F62" s="8">
        <v>0.5</v>
      </c>
      <c r="G62" s="12">
        <v>14</v>
      </c>
      <c r="H62" s="8">
        <v>2.65</v>
      </c>
      <c r="I62" s="12">
        <v>0</v>
      </c>
    </row>
    <row r="63" spans="2:9" ht="15" customHeight="1" x14ac:dyDescent="0.2">
      <c r="B63" t="s">
        <v>162</v>
      </c>
      <c r="C63" s="12">
        <v>17</v>
      </c>
      <c r="D63" s="8">
        <v>1.49</v>
      </c>
      <c r="E63" s="12">
        <v>0</v>
      </c>
      <c r="F63" s="8">
        <v>0</v>
      </c>
      <c r="G63" s="12">
        <v>17</v>
      </c>
      <c r="H63" s="8">
        <v>3.22</v>
      </c>
      <c r="I63" s="12">
        <v>0</v>
      </c>
    </row>
    <row r="64" spans="2:9" ht="15" customHeight="1" x14ac:dyDescent="0.2">
      <c r="B64" t="s">
        <v>198</v>
      </c>
      <c r="C64" s="12">
        <v>15</v>
      </c>
      <c r="D64" s="8">
        <v>1.32</v>
      </c>
      <c r="E64" s="12">
        <v>12</v>
      </c>
      <c r="F64" s="8">
        <v>1.98</v>
      </c>
      <c r="G64" s="12">
        <v>3</v>
      </c>
      <c r="H64" s="8">
        <v>0.56999999999999995</v>
      </c>
      <c r="I64" s="12">
        <v>0</v>
      </c>
    </row>
    <row r="65" spans="2:9" ht="15" customHeight="1" x14ac:dyDescent="0.2">
      <c r="B65" t="s">
        <v>224</v>
      </c>
      <c r="C65" s="12">
        <v>14</v>
      </c>
      <c r="D65" s="8">
        <v>1.23</v>
      </c>
      <c r="E65" s="12">
        <v>4</v>
      </c>
      <c r="F65" s="8">
        <v>0.66</v>
      </c>
      <c r="G65" s="12">
        <v>10</v>
      </c>
      <c r="H65" s="8">
        <v>1.89</v>
      </c>
      <c r="I65" s="12">
        <v>0</v>
      </c>
    </row>
    <row r="66" spans="2:9" ht="15" customHeight="1" x14ac:dyDescent="0.2">
      <c r="B66" t="s">
        <v>195</v>
      </c>
      <c r="C66" s="12">
        <v>14</v>
      </c>
      <c r="D66" s="8">
        <v>1.23</v>
      </c>
      <c r="E66" s="12">
        <v>7</v>
      </c>
      <c r="F66" s="8">
        <v>1.1599999999999999</v>
      </c>
      <c r="G66" s="12">
        <v>7</v>
      </c>
      <c r="H66" s="8">
        <v>1.33</v>
      </c>
      <c r="I66" s="12">
        <v>0</v>
      </c>
    </row>
    <row r="67" spans="2:9" ht="15" customHeight="1" x14ac:dyDescent="0.2">
      <c r="B67" t="s">
        <v>196</v>
      </c>
      <c r="C67" s="12">
        <v>14</v>
      </c>
      <c r="D67" s="8">
        <v>1.23</v>
      </c>
      <c r="E67" s="12">
        <v>7</v>
      </c>
      <c r="F67" s="8">
        <v>1.1599999999999999</v>
      </c>
      <c r="G67" s="12">
        <v>7</v>
      </c>
      <c r="H67" s="8">
        <v>1.33</v>
      </c>
      <c r="I67" s="12">
        <v>0</v>
      </c>
    </row>
    <row r="69" spans="2:9" ht="15" customHeight="1" x14ac:dyDescent="0.2">
      <c r="B69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93C33-B67D-44CD-9E17-C83CD79B3372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337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123</v>
      </c>
      <c r="D6" s="8">
        <v>11.65</v>
      </c>
      <c r="E6" s="12">
        <v>30</v>
      </c>
      <c r="F6" s="8">
        <v>5.29</v>
      </c>
      <c r="G6" s="12">
        <v>93</v>
      </c>
      <c r="H6" s="8">
        <v>19.14</v>
      </c>
      <c r="I6" s="12">
        <v>0</v>
      </c>
    </row>
    <row r="7" spans="2:9" ht="15" customHeight="1" x14ac:dyDescent="0.2">
      <c r="B7" t="s">
        <v>77</v>
      </c>
      <c r="C7" s="12">
        <v>90</v>
      </c>
      <c r="D7" s="8">
        <v>8.52</v>
      </c>
      <c r="E7" s="12">
        <v>40</v>
      </c>
      <c r="F7" s="8">
        <v>7.05</v>
      </c>
      <c r="G7" s="12">
        <v>50</v>
      </c>
      <c r="H7" s="8">
        <v>10.29</v>
      </c>
      <c r="I7" s="12">
        <v>0</v>
      </c>
    </row>
    <row r="8" spans="2:9" ht="15" customHeight="1" x14ac:dyDescent="0.2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79</v>
      </c>
      <c r="C9" s="12">
        <v>2</v>
      </c>
      <c r="D9" s="8">
        <v>0.19</v>
      </c>
      <c r="E9" s="12">
        <v>1</v>
      </c>
      <c r="F9" s="8">
        <v>0.18</v>
      </c>
      <c r="G9" s="12">
        <v>1</v>
      </c>
      <c r="H9" s="8">
        <v>0.21</v>
      </c>
      <c r="I9" s="12">
        <v>0</v>
      </c>
    </row>
    <row r="10" spans="2:9" ht="15" customHeight="1" x14ac:dyDescent="0.2">
      <c r="B10" t="s">
        <v>80</v>
      </c>
      <c r="C10" s="12">
        <v>9</v>
      </c>
      <c r="D10" s="8">
        <v>0.85</v>
      </c>
      <c r="E10" s="12">
        <v>2</v>
      </c>
      <c r="F10" s="8">
        <v>0.35</v>
      </c>
      <c r="G10" s="12">
        <v>7</v>
      </c>
      <c r="H10" s="8">
        <v>1.44</v>
      </c>
      <c r="I10" s="12">
        <v>0</v>
      </c>
    </row>
    <row r="11" spans="2:9" ht="15" customHeight="1" x14ac:dyDescent="0.2">
      <c r="B11" t="s">
        <v>81</v>
      </c>
      <c r="C11" s="12">
        <v>212</v>
      </c>
      <c r="D11" s="8">
        <v>20.079999999999998</v>
      </c>
      <c r="E11" s="12">
        <v>107</v>
      </c>
      <c r="F11" s="8">
        <v>18.87</v>
      </c>
      <c r="G11" s="12">
        <v>105</v>
      </c>
      <c r="H11" s="8">
        <v>21.6</v>
      </c>
      <c r="I11" s="12">
        <v>0</v>
      </c>
    </row>
    <row r="12" spans="2:9" ht="15" customHeight="1" x14ac:dyDescent="0.2">
      <c r="B12" t="s">
        <v>82</v>
      </c>
      <c r="C12" s="12">
        <v>3</v>
      </c>
      <c r="D12" s="8">
        <v>0.28000000000000003</v>
      </c>
      <c r="E12" s="12">
        <v>1</v>
      </c>
      <c r="F12" s="8">
        <v>0.18</v>
      </c>
      <c r="G12" s="12">
        <v>2</v>
      </c>
      <c r="H12" s="8">
        <v>0.41</v>
      </c>
      <c r="I12" s="12">
        <v>0</v>
      </c>
    </row>
    <row r="13" spans="2:9" ht="15" customHeight="1" x14ac:dyDescent="0.2">
      <c r="B13" t="s">
        <v>83</v>
      </c>
      <c r="C13" s="12">
        <v>159</v>
      </c>
      <c r="D13" s="8">
        <v>15.06</v>
      </c>
      <c r="E13" s="12">
        <v>54</v>
      </c>
      <c r="F13" s="8">
        <v>9.52</v>
      </c>
      <c r="G13" s="12">
        <v>105</v>
      </c>
      <c r="H13" s="8">
        <v>21.6</v>
      </c>
      <c r="I13" s="12">
        <v>0</v>
      </c>
    </row>
    <row r="14" spans="2:9" ht="15" customHeight="1" x14ac:dyDescent="0.2">
      <c r="B14" t="s">
        <v>84</v>
      </c>
      <c r="C14" s="12">
        <v>46</v>
      </c>
      <c r="D14" s="8">
        <v>4.3600000000000003</v>
      </c>
      <c r="E14" s="12">
        <v>22</v>
      </c>
      <c r="F14" s="8">
        <v>3.88</v>
      </c>
      <c r="G14" s="12">
        <v>24</v>
      </c>
      <c r="H14" s="8">
        <v>4.9400000000000004</v>
      </c>
      <c r="I14" s="12">
        <v>0</v>
      </c>
    </row>
    <row r="15" spans="2:9" ht="15" customHeight="1" x14ac:dyDescent="0.2">
      <c r="B15" t="s">
        <v>85</v>
      </c>
      <c r="C15" s="12">
        <v>96</v>
      </c>
      <c r="D15" s="8">
        <v>9.09</v>
      </c>
      <c r="E15" s="12">
        <v>87</v>
      </c>
      <c r="F15" s="8">
        <v>15.34</v>
      </c>
      <c r="G15" s="12">
        <v>9</v>
      </c>
      <c r="H15" s="8">
        <v>1.85</v>
      </c>
      <c r="I15" s="12">
        <v>0</v>
      </c>
    </row>
    <row r="16" spans="2:9" ht="15" customHeight="1" x14ac:dyDescent="0.2">
      <c r="B16" t="s">
        <v>86</v>
      </c>
      <c r="C16" s="12">
        <v>139</v>
      </c>
      <c r="D16" s="8">
        <v>13.16</v>
      </c>
      <c r="E16" s="12">
        <v>105</v>
      </c>
      <c r="F16" s="8">
        <v>18.52</v>
      </c>
      <c r="G16" s="12">
        <v>34</v>
      </c>
      <c r="H16" s="8">
        <v>7</v>
      </c>
      <c r="I16" s="12">
        <v>0</v>
      </c>
    </row>
    <row r="17" spans="2:9" ht="15" customHeight="1" x14ac:dyDescent="0.2">
      <c r="B17" t="s">
        <v>87</v>
      </c>
      <c r="C17" s="12">
        <v>61</v>
      </c>
      <c r="D17" s="8">
        <v>5.78</v>
      </c>
      <c r="E17" s="12">
        <v>46</v>
      </c>
      <c r="F17" s="8">
        <v>8.11</v>
      </c>
      <c r="G17" s="12">
        <v>12</v>
      </c>
      <c r="H17" s="8">
        <v>2.4700000000000002</v>
      </c>
      <c r="I17" s="12">
        <v>0</v>
      </c>
    </row>
    <row r="18" spans="2:9" ht="15" customHeight="1" x14ac:dyDescent="0.2">
      <c r="B18" t="s">
        <v>88</v>
      </c>
      <c r="C18" s="12">
        <v>82</v>
      </c>
      <c r="D18" s="8">
        <v>7.77</v>
      </c>
      <c r="E18" s="12">
        <v>52</v>
      </c>
      <c r="F18" s="8">
        <v>9.17</v>
      </c>
      <c r="G18" s="12">
        <v>30</v>
      </c>
      <c r="H18" s="8">
        <v>6.17</v>
      </c>
      <c r="I18" s="12">
        <v>0</v>
      </c>
    </row>
    <row r="19" spans="2:9" ht="15" customHeight="1" x14ac:dyDescent="0.2">
      <c r="B19" t="s">
        <v>89</v>
      </c>
      <c r="C19" s="12">
        <v>34</v>
      </c>
      <c r="D19" s="8">
        <v>3.22</v>
      </c>
      <c r="E19" s="12">
        <v>20</v>
      </c>
      <c r="F19" s="8">
        <v>3.53</v>
      </c>
      <c r="G19" s="12">
        <v>14</v>
      </c>
      <c r="H19" s="8">
        <v>2.88</v>
      </c>
      <c r="I19" s="12">
        <v>0</v>
      </c>
    </row>
    <row r="20" spans="2:9" ht="15" customHeight="1" x14ac:dyDescent="0.2">
      <c r="B20" s="9" t="s">
        <v>271</v>
      </c>
      <c r="C20" s="12">
        <f>SUM(LTBL_27231[総数／事業所数])</f>
        <v>1056</v>
      </c>
      <c r="E20" s="12">
        <f>SUBTOTAL(109,LTBL_27231[個人／事業所数])</f>
        <v>567</v>
      </c>
      <c r="G20" s="12">
        <f>SUBTOTAL(109,LTBL_27231[法人／事業所数])</f>
        <v>486</v>
      </c>
      <c r="I20" s="12">
        <f>SUBTOTAL(109,LTBL_27231[法人以外の団体／事業所数])</f>
        <v>0</v>
      </c>
    </row>
    <row r="21" spans="2:9" ht="15" customHeight="1" x14ac:dyDescent="0.2">
      <c r="E21" s="11">
        <f>LTBL_27231[[#Totals],[個人／事業所数]]/LTBL_27231[[#Totals],[総数／事業所数]]</f>
        <v>0.53693181818181823</v>
      </c>
      <c r="G21" s="11">
        <f>LTBL_27231[[#Totals],[法人／事業所数]]/LTBL_27231[[#Totals],[総数／事業所数]]</f>
        <v>0.46022727272727271</v>
      </c>
      <c r="I21" s="11">
        <f>LTBL_27231[[#Totals],[法人以外の団体／事業所数]]/LTBL_27231[[#Totals],[総数／事業所数]]</f>
        <v>0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110</v>
      </c>
      <c r="C24" s="12">
        <v>136</v>
      </c>
      <c r="D24" s="8">
        <v>12.88</v>
      </c>
      <c r="E24" s="12">
        <v>51</v>
      </c>
      <c r="F24" s="8">
        <v>8.99</v>
      </c>
      <c r="G24" s="12">
        <v>85</v>
      </c>
      <c r="H24" s="8">
        <v>17.489999999999998</v>
      </c>
      <c r="I24" s="12">
        <v>0</v>
      </c>
    </row>
    <row r="25" spans="2:9" ht="15" customHeight="1" x14ac:dyDescent="0.2">
      <c r="B25" t="s">
        <v>114</v>
      </c>
      <c r="C25" s="12">
        <v>117</v>
      </c>
      <c r="D25" s="8">
        <v>11.08</v>
      </c>
      <c r="E25" s="12">
        <v>91</v>
      </c>
      <c r="F25" s="8">
        <v>16.05</v>
      </c>
      <c r="G25" s="12">
        <v>26</v>
      </c>
      <c r="H25" s="8">
        <v>5.35</v>
      </c>
      <c r="I25" s="12">
        <v>0</v>
      </c>
    </row>
    <row r="26" spans="2:9" ht="15" customHeight="1" x14ac:dyDescent="0.2">
      <c r="B26" t="s">
        <v>113</v>
      </c>
      <c r="C26" s="12">
        <v>92</v>
      </c>
      <c r="D26" s="8">
        <v>8.7100000000000009</v>
      </c>
      <c r="E26" s="12">
        <v>86</v>
      </c>
      <c r="F26" s="8">
        <v>15.17</v>
      </c>
      <c r="G26" s="12">
        <v>6</v>
      </c>
      <c r="H26" s="8">
        <v>1.23</v>
      </c>
      <c r="I26" s="12">
        <v>0</v>
      </c>
    </row>
    <row r="27" spans="2:9" ht="15" customHeight="1" x14ac:dyDescent="0.2">
      <c r="B27" t="s">
        <v>98</v>
      </c>
      <c r="C27" s="12">
        <v>65</v>
      </c>
      <c r="D27" s="8">
        <v>6.16</v>
      </c>
      <c r="E27" s="12">
        <v>17</v>
      </c>
      <c r="F27" s="8">
        <v>3</v>
      </c>
      <c r="G27" s="12">
        <v>48</v>
      </c>
      <c r="H27" s="8">
        <v>9.8800000000000008</v>
      </c>
      <c r="I27" s="12">
        <v>0</v>
      </c>
    </row>
    <row r="28" spans="2:9" ht="15" customHeight="1" x14ac:dyDescent="0.2">
      <c r="B28" t="s">
        <v>108</v>
      </c>
      <c r="C28" s="12">
        <v>62</v>
      </c>
      <c r="D28" s="8">
        <v>5.87</v>
      </c>
      <c r="E28" s="12">
        <v>38</v>
      </c>
      <c r="F28" s="8">
        <v>6.7</v>
      </c>
      <c r="G28" s="12">
        <v>24</v>
      </c>
      <c r="H28" s="8">
        <v>4.9400000000000004</v>
      </c>
      <c r="I28" s="12">
        <v>0</v>
      </c>
    </row>
    <row r="29" spans="2:9" ht="15" customHeight="1" x14ac:dyDescent="0.2">
      <c r="B29" t="s">
        <v>115</v>
      </c>
      <c r="C29" s="12">
        <v>61</v>
      </c>
      <c r="D29" s="8">
        <v>5.78</v>
      </c>
      <c r="E29" s="12">
        <v>46</v>
      </c>
      <c r="F29" s="8">
        <v>8.11</v>
      </c>
      <c r="G29" s="12">
        <v>12</v>
      </c>
      <c r="H29" s="8">
        <v>2.4700000000000002</v>
      </c>
      <c r="I29" s="12">
        <v>0</v>
      </c>
    </row>
    <row r="30" spans="2:9" ht="15" customHeight="1" x14ac:dyDescent="0.2">
      <c r="B30" t="s">
        <v>116</v>
      </c>
      <c r="C30" s="12">
        <v>60</v>
      </c>
      <c r="D30" s="8">
        <v>5.68</v>
      </c>
      <c r="E30" s="12">
        <v>52</v>
      </c>
      <c r="F30" s="8">
        <v>9.17</v>
      </c>
      <c r="G30" s="12">
        <v>8</v>
      </c>
      <c r="H30" s="8">
        <v>1.65</v>
      </c>
      <c r="I30" s="12">
        <v>0</v>
      </c>
    </row>
    <row r="31" spans="2:9" ht="15" customHeight="1" x14ac:dyDescent="0.2">
      <c r="B31" t="s">
        <v>107</v>
      </c>
      <c r="C31" s="12">
        <v>36</v>
      </c>
      <c r="D31" s="8">
        <v>3.41</v>
      </c>
      <c r="E31" s="12">
        <v>22</v>
      </c>
      <c r="F31" s="8">
        <v>3.88</v>
      </c>
      <c r="G31" s="12">
        <v>14</v>
      </c>
      <c r="H31" s="8">
        <v>2.88</v>
      </c>
      <c r="I31" s="12">
        <v>0</v>
      </c>
    </row>
    <row r="32" spans="2:9" ht="15" customHeight="1" x14ac:dyDescent="0.2">
      <c r="B32" t="s">
        <v>100</v>
      </c>
      <c r="C32" s="12">
        <v>30</v>
      </c>
      <c r="D32" s="8">
        <v>2.84</v>
      </c>
      <c r="E32" s="12">
        <v>8</v>
      </c>
      <c r="F32" s="8">
        <v>1.41</v>
      </c>
      <c r="G32" s="12">
        <v>22</v>
      </c>
      <c r="H32" s="8">
        <v>4.53</v>
      </c>
      <c r="I32" s="12">
        <v>0</v>
      </c>
    </row>
    <row r="33" spans="2:9" ht="15" customHeight="1" x14ac:dyDescent="0.2">
      <c r="B33" t="s">
        <v>99</v>
      </c>
      <c r="C33" s="12">
        <v>28</v>
      </c>
      <c r="D33" s="8">
        <v>2.65</v>
      </c>
      <c r="E33" s="12">
        <v>5</v>
      </c>
      <c r="F33" s="8">
        <v>0.88</v>
      </c>
      <c r="G33" s="12">
        <v>23</v>
      </c>
      <c r="H33" s="8">
        <v>4.7300000000000004</v>
      </c>
      <c r="I33" s="12">
        <v>0</v>
      </c>
    </row>
    <row r="34" spans="2:9" ht="15" customHeight="1" x14ac:dyDescent="0.2">
      <c r="B34" t="s">
        <v>106</v>
      </c>
      <c r="C34" s="12">
        <v>27</v>
      </c>
      <c r="D34" s="8">
        <v>2.56</v>
      </c>
      <c r="E34" s="12">
        <v>17</v>
      </c>
      <c r="F34" s="8">
        <v>3</v>
      </c>
      <c r="G34" s="12">
        <v>10</v>
      </c>
      <c r="H34" s="8">
        <v>2.06</v>
      </c>
      <c r="I34" s="12">
        <v>0</v>
      </c>
    </row>
    <row r="35" spans="2:9" ht="15" customHeight="1" x14ac:dyDescent="0.2">
      <c r="B35" t="s">
        <v>111</v>
      </c>
      <c r="C35" s="12">
        <v>23</v>
      </c>
      <c r="D35" s="8">
        <v>2.1800000000000002</v>
      </c>
      <c r="E35" s="12">
        <v>12</v>
      </c>
      <c r="F35" s="8">
        <v>2.12</v>
      </c>
      <c r="G35" s="12">
        <v>11</v>
      </c>
      <c r="H35" s="8">
        <v>2.2599999999999998</v>
      </c>
      <c r="I35" s="12">
        <v>0</v>
      </c>
    </row>
    <row r="36" spans="2:9" ht="15" customHeight="1" x14ac:dyDescent="0.2">
      <c r="B36" t="s">
        <v>112</v>
      </c>
      <c r="C36" s="12">
        <v>22</v>
      </c>
      <c r="D36" s="8">
        <v>2.08</v>
      </c>
      <c r="E36" s="12">
        <v>9</v>
      </c>
      <c r="F36" s="8">
        <v>1.59</v>
      </c>
      <c r="G36" s="12">
        <v>13</v>
      </c>
      <c r="H36" s="8">
        <v>2.67</v>
      </c>
      <c r="I36" s="12">
        <v>0</v>
      </c>
    </row>
    <row r="37" spans="2:9" ht="15" customHeight="1" x14ac:dyDescent="0.2">
      <c r="B37" t="s">
        <v>117</v>
      </c>
      <c r="C37" s="12">
        <v>22</v>
      </c>
      <c r="D37" s="8">
        <v>2.08</v>
      </c>
      <c r="E37" s="12">
        <v>0</v>
      </c>
      <c r="F37" s="8">
        <v>0</v>
      </c>
      <c r="G37" s="12">
        <v>22</v>
      </c>
      <c r="H37" s="8">
        <v>4.53</v>
      </c>
      <c r="I37" s="12">
        <v>0</v>
      </c>
    </row>
    <row r="38" spans="2:9" ht="15" customHeight="1" x14ac:dyDescent="0.2">
      <c r="B38" t="s">
        <v>101</v>
      </c>
      <c r="C38" s="12">
        <v>20</v>
      </c>
      <c r="D38" s="8">
        <v>1.89</v>
      </c>
      <c r="E38" s="12">
        <v>8</v>
      </c>
      <c r="F38" s="8">
        <v>1.41</v>
      </c>
      <c r="G38" s="12">
        <v>12</v>
      </c>
      <c r="H38" s="8">
        <v>2.4700000000000002</v>
      </c>
      <c r="I38" s="12">
        <v>0</v>
      </c>
    </row>
    <row r="39" spans="2:9" ht="15" customHeight="1" x14ac:dyDescent="0.2">
      <c r="B39" t="s">
        <v>104</v>
      </c>
      <c r="C39" s="12">
        <v>20</v>
      </c>
      <c r="D39" s="8">
        <v>1.89</v>
      </c>
      <c r="E39" s="12">
        <v>4</v>
      </c>
      <c r="F39" s="8">
        <v>0.71</v>
      </c>
      <c r="G39" s="12">
        <v>16</v>
      </c>
      <c r="H39" s="8">
        <v>3.29</v>
      </c>
      <c r="I39" s="12">
        <v>0</v>
      </c>
    </row>
    <row r="40" spans="2:9" ht="15" customHeight="1" x14ac:dyDescent="0.2">
      <c r="B40" t="s">
        <v>105</v>
      </c>
      <c r="C40" s="12">
        <v>20</v>
      </c>
      <c r="D40" s="8">
        <v>1.89</v>
      </c>
      <c r="E40" s="12">
        <v>16</v>
      </c>
      <c r="F40" s="8">
        <v>2.82</v>
      </c>
      <c r="G40" s="12">
        <v>4</v>
      </c>
      <c r="H40" s="8">
        <v>0.82</v>
      </c>
      <c r="I40" s="12">
        <v>0</v>
      </c>
    </row>
    <row r="41" spans="2:9" ht="15" customHeight="1" x14ac:dyDescent="0.2">
      <c r="B41" t="s">
        <v>109</v>
      </c>
      <c r="C41" s="12">
        <v>19</v>
      </c>
      <c r="D41" s="8">
        <v>1.8</v>
      </c>
      <c r="E41" s="12">
        <v>3</v>
      </c>
      <c r="F41" s="8">
        <v>0.53</v>
      </c>
      <c r="G41" s="12">
        <v>16</v>
      </c>
      <c r="H41" s="8">
        <v>3.29</v>
      </c>
      <c r="I41" s="12">
        <v>0</v>
      </c>
    </row>
    <row r="42" spans="2:9" ht="15" customHeight="1" x14ac:dyDescent="0.2">
      <c r="B42" t="s">
        <v>129</v>
      </c>
      <c r="C42" s="12">
        <v>17</v>
      </c>
      <c r="D42" s="8">
        <v>1.61</v>
      </c>
      <c r="E42" s="12">
        <v>15</v>
      </c>
      <c r="F42" s="8">
        <v>2.65</v>
      </c>
      <c r="G42" s="12">
        <v>2</v>
      </c>
      <c r="H42" s="8">
        <v>0.41</v>
      </c>
      <c r="I42" s="12">
        <v>0</v>
      </c>
    </row>
    <row r="43" spans="2:9" ht="15" customHeight="1" x14ac:dyDescent="0.2">
      <c r="B43" t="s">
        <v>135</v>
      </c>
      <c r="C43" s="12">
        <v>13</v>
      </c>
      <c r="D43" s="8">
        <v>1.23</v>
      </c>
      <c r="E43" s="12">
        <v>2</v>
      </c>
      <c r="F43" s="8">
        <v>0.35</v>
      </c>
      <c r="G43" s="12">
        <v>11</v>
      </c>
      <c r="H43" s="8">
        <v>2.2599999999999998</v>
      </c>
      <c r="I43" s="12">
        <v>0</v>
      </c>
    </row>
    <row r="44" spans="2:9" ht="15" customHeight="1" x14ac:dyDescent="0.2">
      <c r="B44" t="s">
        <v>130</v>
      </c>
      <c r="C44" s="12">
        <v>13</v>
      </c>
      <c r="D44" s="8">
        <v>1.23</v>
      </c>
      <c r="E44" s="12">
        <v>7</v>
      </c>
      <c r="F44" s="8">
        <v>1.23</v>
      </c>
      <c r="G44" s="12">
        <v>6</v>
      </c>
      <c r="H44" s="8">
        <v>1.23</v>
      </c>
      <c r="I44" s="12">
        <v>0</v>
      </c>
    </row>
    <row r="47" spans="2:9" ht="33" customHeight="1" x14ac:dyDescent="0.2">
      <c r="B47" t="s">
        <v>273</v>
      </c>
      <c r="C47" s="10" t="s">
        <v>91</v>
      </c>
      <c r="D47" s="10" t="s">
        <v>92</v>
      </c>
      <c r="E47" s="10" t="s">
        <v>93</v>
      </c>
      <c r="F47" s="10" t="s">
        <v>94</v>
      </c>
      <c r="G47" s="10" t="s">
        <v>95</v>
      </c>
      <c r="H47" s="10" t="s">
        <v>96</v>
      </c>
      <c r="I47" s="10" t="s">
        <v>97</v>
      </c>
    </row>
    <row r="48" spans="2:9" ht="15" customHeight="1" x14ac:dyDescent="0.2">
      <c r="B48" t="s">
        <v>160</v>
      </c>
      <c r="C48" s="12">
        <v>66</v>
      </c>
      <c r="D48" s="8">
        <v>6.25</v>
      </c>
      <c r="E48" s="12">
        <v>30</v>
      </c>
      <c r="F48" s="8">
        <v>5.29</v>
      </c>
      <c r="G48" s="12">
        <v>36</v>
      </c>
      <c r="H48" s="8">
        <v>7.41</v>
      </c>
      <c r="I48" s="12">
        <v>0</v>
      </c>
    </row>
    <row r="49" spans="2:9" ht="15" customHeight="1" x14ac:dyDescent="0.2">
      <c r="B49" t="s">
        <v>169</v>
      </c>
      <c r="C49" s="12">
        <v>59</v>
      </c>
      <c r="D49" s="8">
        <v>5.59</v>
      </c>
      <c r="E49" s="12">
        <v>49</v>
      </c>
      <c r="F49" s="8">
        <v>8.64</v>
      </c>
      <c r="G49" s="12">
        <v>10</v>
      </c>
      <c r="H49" s="8">
        <v>2.06</v>
      </c>
      <c r="I49" s="12">
        <v>0</v>
      </c>
    </row>
    <row r="50" spans="2:9" ht="15" customHeight="1" x14ac:dyDescent="0.2">
      <c r="B50" t="s">
        <v>170</v>
      </c>
      <c r="C50" s="12">
        <v>44</v>
      </c>
      <c r="D50" s="8">
        <v>4.17</v>
      </c>
      <c r="E50" s="12">
        <v>35</v>
      </c>
      <c r="F50" s="8">
        <v>6.17</v>
      </c>
      <c r="G50" s="12">
        <v>9</v>
      </c>
      <c r="H50" s="8">
        <v>1.85</v>
      </c>
      <c r="I50" s="12">
        <v>0</v>
      </c>
    </row>
    <row r="51" spans="2:9" ht="15" customHeight="1" x14ac:dyDescent="0.2">
      <c r="B51" t="s">
        <v>171</v>
      </c>
      <c r="C51" s="12">
        <v>41</v>
      </c>
      <c r="D51" s="8">
        <v>3.88</v>
      </c>
      <c r="E51" s="12">
        <v>38</v>
      </c>
      <c r="F51" s="8">
        <v>6.7</v>
      </c>
      <c r="G51" s="12">
        <v>3</v>
      </c>
      <c r="H51" s="8">
        <v>0.62</v>
      </c>
      <c r="I51" s="12">
        <v>0</v>
      </c>
    </row>
    <row r="52" spans="2:9" ht="15" customHeight="1" x14ac:dyDescent="0.2">
      <c r="B52" t="s">
        <v>159</v>
      </c>
      <c r="C52" s="12">
        <v>32</v>
      </c>
      <c r="D52" s="8">
        <v>3.03</v>
      </c>
      <c r="E52" s="12">
        <v>5</v>
      </c>
      <c r="F52" s="8">
        <v>0.88</v>
      </c>
      <c r="G52" s="12">
        <v>27</v>
      </c>
      <c r="H52" s="8">
        <v>5.56</v>
      </c>
      <c r="I52" s="12">
        <v>0</v>
      </c>
    </row>
    <row r="53" spans="2:9" ht="15" customHeight="1" x14ac:dyDescent="0.2">
      <c r="B53" t="s">
        <v>168</v>
      </c>
      <c r="C53" s="12">
        <v>28</v>
      </c>
      <c r="D53" s="8">
        <v>2.65</v>
      </c>
      <c r="E53" s="12">
        <v>28</v>
      </c>
      <c r="F53" s="8">
        <v>4.9400000000000004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164</v>
      </c>
      <c r="C54" s="12">
        <v>26</v>
      </c>
      <c r="D54" s="8">
        <v>2.46</v>
      </c>
      <c r="E54" s="12">
        <v>25</v>
      </c>
      <c r="F54" s="8">
        <v>4.41</v>
      </c>
      <c r="G54" s="12">
        <v>1</v>
      </c>
      <c r="H54" s="8">
        <v>0.21</v>
      </c>
      <c r="I54" s="12">
        <v>0</v>
      </c>
    </row>
    <row r="55" spans="2:9" ht="15" customHeight="1" x14ac:dyDescent="0.2">
      <c r="B55" t="s">
        <v>215</v>
      </c>
      <c r="C55" s="12">
        <v>25</v>
      </c>
      <c r="D55" s="8">
        <v>2.37</v>
      </c>
      <c r="E55" s="12">
        <v>14</v>
      </c>
      <c r="F55" s="8">
        <v>2.4700000000000002</v>
      </c>
      <c r="G55" s="12">
        <v>11</v>
      </c>
      <c r="H55" s="8">
        <v>2.2599999999999998</v>
      </c>
      <c r="I55" s="12">
        <v>0</v>
      </c>
    </row>
    <row r="56" spans="2:9" ht="15" customHeight="1" x14ac:dyDescent="0.2">
      <c r="B56" t="s">
        <v>167</v>
      </c>
      <c r="C56" s="12">
        <v>25</v>
      </c>
      <c r="D56" s="8">
        <v>2.37</v>
      </c>
      <c r="E56" s="12">
        <v>24</v>
      </c>
      <c r="F56" s="8">
        <v>4.2300000000000004</v>
      </c>
      <c r="G56" s="12">
        <v>1</v>
      </c>
      <c r="H56" s="8">
        <v>0.21</v>
      </c>
      <c r="I56" s="12">
        <v>0</v>
      </c>
    </row>
    <row r="57" spans="2:9" ht="15" customHeight="1" x14ac:dyDescent="0.2">
      <c r="B57" t="s">
        <v>190</v>
      </c>
      <c r="C57" s="12">
        <v>24</v>
      </c>
      <c r="D57" s="8">
        <v>2.27</v>
      </c>
      <c r="E57" s="12">
        <v>7</v>
      </c>
      <c r="F57" s="8">
        <v>1.23</v>
      </c>
      <c r="G57" s="12">
        <v>17</v>
      </c>
      <c r="H57" s="8">
        <v>3.5</v>
      </c>
      <c r="I57" s="12">
        <v>0</v>
      </c>
    </row>
    <row r="58" spans="2:9" ht="15" customHeight="1" x14ac:dyDescent="0.2">
      <c r="B58" t="s">
        <v>157</v>
      </c>
      <c r="C58" s="12">
        <v>22</v>
      </c>
      <c r="D58" s="8">
        <v>2.08</v>
      </c>
      <c r="E58" s="12">
        <v>21</v>
      </c>
      <c r="F58" s="8">
        <v>3.7</v>
      </c>
      <c r="G58" s="12">
        <v>1</v>
      </c>
      <c r="H58" s="8">
        <v>0.21</v>
      </c>
      <c r="I58" s="12">
        <v>0</v>
      </c>
    </row>
    <row r="59" spans="2:9" ht="15" customHeight="1" x14ac:dyDescent="0.2">
      <c r="B59" t="s">
        <v>161</v>
      </c>
      <c r="C59" s="12">
        <v>21</v>
      </c>
      <c r="D59" s="8">
        <v>1.99</v>
      </c>
      <c r="E59" s="12">
        <v>16</v>
      </c>
      <c r="F59" s="8">
        <v>2.82</v>
      </c>
      <c r="G59" s="12">
        <v>5</v>
      </c>
      <c r="H59" s="8">
        <v>1.03</v>
      </c>
      <c r="I59" s="12">
        <v>0</v>
      </c>
    </row>
    <row r="60" spans="2:9" ht="15" customHeight="1" x14ac:dyDescent="0.2">
      <c r="B60" t="s">
        <v>162</v>
      </c>
      <c r="C60" s="12">
        <v>17</v>
      </c>
      <c r="D60" s="8">
        <v>1.61</v>
      </c>
      <c r="E60" s="12">
        <v>0</v>
      </c>
      <c r="F60" s="8">
        <v>0</v>
      </c>
      <c r="G60" s="12">
        <v>17</v>
      </c>
      <c r="H60" s="8">
        <v>3.5</v>
      </c>
      <c r="I60" s="12">
        <v>0</v>
      </c>
    </row>
    <row r="61" spans="2:9" ht="15" customHeight="1" x14ac:dyDescent="0.2">
      <c r="B61" t="s">
        <v>198</v>
      </c>
      <c r="C61" s="12">
        <v>17</v>
      </c>
      <c r="D61" s="8">
        <v>1.61</v>
      </c>
      <c r="E61" s="12">
        <v>15</v>
      </c>
      <c r="F61" s="8">
        <v>2.65</v>
      </c>
      <c r="G61" s="12">
        <v>2</v>
      </c>
      <c r="H61" s="8">
        <v>0.41</v>
      </c>
      <c r="I61" s="12">
        <v>0</v>
      </c>
    </row>
    <row r="62" spans="2:9" ht="15" customHeight="1" x14ac:dyDescent="0.2">
      <c r="B62" t="s">
        <v>210</v>
      </c>
      <c r="C62" s="12">
        <v>16</v>
      </c>
      <c r="D62" s="8">
        <v>1.52</v>
      </c>
      <c r="E62" s="12">
        <v>3</v>
      </c>
      <c r="F62" s="8">
        <v>0.53</v>
      </c>
      <c r="G62" s="12">
        <v>13</v>
      </c>
      <c r="H62" s="8">
        <v>2.67</v>
      </c>
      <c r="I62" s="12">
        <v>0</v>
      </c>
    </row>
    <row r="63" spans="2:9" ht="15" customHeight="1" x14ac:dyDescent="0.2">
      <c r="B63" t="s">
        <v>153</v>
      </c>
      <c r="C63" s="12">
        <v>16</v>
      </c>
      <c r="D63" s="8">
        <v>1.52</v>
      </c>
      <c r="E63" s="12">
        <v>4</v>
      </c>
      <c r="F63" s="8">
        <v>0.71</v>
      </c>
      <c r="G63" s="12">
        <v>12</v>
      </c>
      <c r="H63" s="8">
        <v>2.4700000000000002</v>
      </c>
      <c r="I63" s="12">
        <v>0</v>
      </c>
    </row>
    <row r="64" spans="2:9" ht="15" customHeight="1" x14ac:dyDescent="0.2">
      <c r="B64" t="s">
        <v>165</v>
      </c>
      <c r="C64" s="12">
        <v>16</v>
      </c>
      <c r="D64" s="8">
        <v>1.52</v>
      </c>
      <c r="E64" s="12">
        <v>16</v>
      </c>
      <c r="F64" s="8">
        <v>2.82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155</v>
      </c>
      <c r="C65" s="12">
        <v>15</v>
      </c>
      <c r="D65" s="8">
        <v>1.42</v>
      </c>
      <c r="E65" s="12">
        <v>13</v>
      </c>
      <c r="F65" s="8">
        <v>2.29</v>
      </c>
      <c r="G65" s="12">
        <v>2</v>
      </c>
      <c r="H65" s="8">
        <v>0.41</v>
      </c>
      <c r="I65" s="12">
        <v>0</v>
      </c>
    </row>
    <row r="66" spans="2:9" ht="15" customHeight="1" x14ac:dyDescent="0.2">
      <c r="B66" t="s">
        <v>236</v>
      </c>
      <c r="C66" s="12">
        <v>15</v>
      </c>
      <c r="D66" s="8">
        <v>1.42</v>
      </c>
      <c r="E66" s="12">
        <v>9</v>
      </c>
      <c r="F66" s="8">
        <v>1.59</v>
      </c>
      <c r="G66" s="12">
        <v>6</v>
      </c>
      <c r="H66" s="8">
        <v>1.23</v>
      </c>
      <c r="I66" s="12">
        <v>0</v>
      </c>
    </row>
    <row r="67" spans="2:9" ht="15" customHeight="1" x14ac:dyDescent="0.2">
      <c r="B67" t="s">
        <v>172</v>
      </c>
      <c r="C67" s="12">
        <v>14</v>
      </c>
      <c r="D67" s="8">
        <v>1.33</v>
      </c>
      <c r="E67" s="12">
        <v>3</v>
      </c>
      <c r="F67" s="8">
        <v>0.53</v>
      </c>
      <c r="G67" s="12">
        <v>11</v>
      </c>
      <c r="H67" s="8">
        <v>2.2599999999999998</v>
      </c>
      <c r="I67" s="12">
        <v>0</v>
      </c>
    </row>
    <row r="68" spans="2:9" ht="15" customHeight="1" x14ac:dyDescent="0.2">
      <c r="B68" t="s">
        <v>196</v>
      </c>
      <c r="C68" s="12">
        <v>14</v>
      </c>
      <c r="D68" s="8">
        <v>1.33</v>
      </c>
      <c r="E68" s="12">
        <v>5</v>
      </c>
      <c r="F68" s="8">
        <v>0.88</v>
      </c>
      <c r="G68" s="12">
        <v>9</v>
      </c>
      <c r="H68" s="8">
        <v>1.85</v>
      </c>
      <c r="I68" s="12">
        <v>0</v>
      </c>
    </row>
    <row r="69" spans="2:9" ht="15" customHeight="1" x14ac:dyDescent="0.2">
      <c r="B69" t="s">
        <v>199</v>
      </c>
      <c r="C69" s="12">
        <v>14</v>
      </c>
      <c r="D69" s="8">
        <v>1.33</v>
      </c>
      <c r="E69" s="12">
        <v>11</v>
      </c>
      <c r="F69" s="8">
        <v>1.94</v>
      </c>
      <c r="G69" s="12">
        <v>3</v>
      </c>
      <c r="H69" s="8">
        <v>0.62</v>
      </c>
      <c r="I69" s="12">
        <v>0</v>
      </c>
    </row>
    <row r="70" spans="2:9" ht="15" customHeight="1" x14ac:dyDescent="0.2">
      <c r="B70" t="s">
        <v>211</v>
      </c>
      <c r="C70" s="12">
        <v>14</v>
      </c>
      <c r="D70" s="8">
        <v>1.33</v>
      </c>
      <c r="E70" s="12">
        <v>12</v>
      </c>
      <c r="F70" s="8">
        <v>2.12</v>
      </c>
      <c r="G70" s="12">
        <v>2</v>
      </c>
      <c r="H70" s="8">
        <v>0.41</v>
      </c>
      <c r="I70" s="12">
        <v>0</v>
      </c>
    </row>
    <row r="72" spans="2:9" ht="15" customHeight="1" x14ac:dyDescent="0.2">
      <c r="B72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81EA4-8D7A-48BB-988D-4DC58CD8891C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338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1</v>
      </c>
      <c r="D5" s="8">
        <v>0.11</v>
      </c>
      <c r="E5" s="12">
        <v>0</v>
      </c>
      <c r="F5" s="8">
        <v>0</v>
      </c>
      <c r="G5" s="12">
        <v>1</v>
      </c>
      <c r="H5" s="8">
        <v>0.28000000000000003</v>
      </c>
      <c r="I5" s="12">
        <v>0</v>
      </c>
    </row>
    <row r="6" spans="2:9" ht="15" customHeight="1" x14ac:dyDescent="0.2">
      <c r="B6" t="s">
        <v>76</v>
      </c>
      <c r="C6" s="12">
        <v>151</v>
      </c>
      <c r="D6" s="8">
        <v>16.36</v>
      </c>
      <c r="E6" s="12">
        <v>46</v>
      </c>
      <c r="F6" s="8">
        <v>8.1999999999999993</v>
      </c>
      <c r="G6" s="12">
        <v>105</v>
      </c>
      <c r="H6" s="8">
        <v>29.17</v>
      </c>
      <c r="I6" s="12">
        <v>0</v>
      </c>
    </row>
    <row r="7" spans="2:9" ht="15" customHeight="1" x14ac:dyDescent="0.2">
      <c r="B7" t="s">
        <v>77</v>
      </c>
      <c r="C7" s="12">
        <v>73</v>
      </c>
      <c r="D7" s="8">
        <v>7.91</v>
      </c>
      <c r="E7" s="12">
        <v>35</v>
      </c>
      <c r="F7" s="8">
        <v>6.24</v>
      </c>
      <c r="G7" s="12">
        <v>38</v>
      </c>
      <c r="H7" s="8">
        <v>10.56</v>
      </c>
      <c r="I7" s="12">
        <v>0</v>
      </c>
    </row>
    <row r="8" spans="2:9" ht="15" customHeight="1" x14ac:dyDescent="0.2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79</v>
      </c>
      <c r="C9" s="12">
        <v>9</v>
      </c>
      <c r="D9" s="8">
        <v>0.98</v>
      </c>
      <c r="E9" s="12">
        <v>0</v>
      </c>
      <c r="F9" s="8">
        <v>0</v>
      </c>
      <c r="G9" s="12">
        <v>9</v>
      </c>
      <c r="H9" s="8">
        <v>2.5</v>
      </c>
      <c r="I9" s="12">
        <v>0</v>
      </c>
    </row>
    <row r="10" spans="2:9" ht="15" customHeight="1" x14ac:dyDescent="0.2">
      <c r="B10" t="s">
        <v>80</v>
      </c>
      <c r="C10" s="12">
        <v>6</v>
      </c>
      <c r="D10" s="8">
        <v>0.65</v>
      </c>
      <c r="E10" s="12">
        <v>2</v>
      </c>
      <c r="F10" s="8">
        <v>0.36</v>
      </c>
      <c r="G10" s="12">
        <v>4</v>
      </c>
      <c r="H10" s="8">
        <v>1.1100000000000001</v>
      </c>
      <c r="I10" s="12">
        <v>0</v>
      </c>
    </row>
    <row r="11" spans="2:9" ht="15" customHeight="1" x14ac:dyDescent="0.2">
      <c r="B11" t="s">
        <v>81</v>
      </c>
      <c r="C11" s="12">
        <v>204</v>
      </c>
      <c r="D11" s="8">
        <v>22.1</v>
      </c>
      <c r="E11" s="12">
        <v>134</v>
      </c>
      <c r="F11" s="8">
        <v>23.89</v>
      </c>
      <c r="G11" s="12">
        <v>70</v>
      </c>
      <c r="H11" s="8">
        <v>19.440000000000001</v>
      </c>
      <c r="I11" s="12">
        <v>0</v>
      </c>
    </row>
    <row r="12" spans="2:9" ht="15" customHeight="1" x14ac:dyDescent="0.2">
      <c r="B12" t="s">
        <v>82</v>
      </c>
      <c r="C12" s="12">
        <v>8</v>
      </c>
      <c r="D12" s="8">
        <v>0.87</v>
      </c>
      <c r="E12" s="12">
        <v>5</v>
      </c>
      <c r="F12" s="8">
        <v>0.89</v>
      </c>
      <c r="G12" s="12">
        <v>3</v>
      </c>
      <c r="H12" s="8">
        <v>0.83</v>
      </c>
      <c r="I12" s="12">
        <v>0</v>
      </c>
    </row>
    <row r="13" spans="2:9" ht="15" customHeight="1" x14ac:dyDescent="0.2">
      <c r="B13" t="s">
        <v>83</v>
      </c>
      <c r="C13" s="12">
        <v>84</v>
      </c>
      <c r="D13" s="8">
        <v>9.1</v>
      </c>
      <c r="E13" s="12">
        <v>47</v>
      </c>
      <c r="F13" s="8">
        <v>8.3800000000000008</v>
      </c>
      <c r="G13" s="12">
        <v>37</v>
      </c>
      <c r="H13" s="8">
        <v>10.28</v>
      </c>
      <c r="I13" s="12">
        <v>0</v>
      </c>
    </row>
    <row r="14" spans="2:9" ht="15" customHeight="1" x14ac:dyDescent="0.2">
      <c r="B14" t="s">
        <v>84</v>
      </c>
      <c r="C14" s="12">
        <v>48</v>
      </c>
      <c r="D14" s="8">
        <v>5.2</v>
      </c>
      <c r="E14" s="12">
        <v>26</v>
      </c>
      <c r="F14" s="8">
        <v>4.63</v>
      </c>
      <c r="G14" s="12">
        <v>22</v>
      </c>
      <c r="H14" s="8">
        <v>6.11</v>
      </c>
      <c r="I14" s="12">
        <v>0</v>
      </c>
    </row>
    <row r="15" spans="2:9" ht="15" customHeight="1" x14ac:dyDescent="0.2">
      <c r="B15" t="s">
        <v>85</v>
      </c>
      <c r="C15" s="12">
        <v>77</v>
      </c>
      <c r="D15" s="8">
        <v>8.34</v>
      </c>
      <c r="E15" s="12">
        <v>70</v>
      </c>
      <c r="F15" s="8">
        <v>12.48</v>
      </c>
      <c r="G15" s="12">
        <v>7</v>
      </c>
      <c r="H15" s="8">
        <v>1.94</v>
      </c>
      <c r="I15" s="12">
        <v>0</v>
      </c>
    </row>
    <row r="16" spans="2:9" ht="15" customHeight="1" x14ac:dyDescent="0.2">
      <c r="B16" t="s">
        <v>86</v>
      </c>
      <c r="C16" s="12">
        <v>129</v>
      </c>
      <c r="D16" s="8">
        <v>13.98</v>
      </c>
      <c r="E16" s="12">
        <v>104</v>
      </c>
      <c r="F16" s="8">
        <v>18.54</v>
      </c>
      <c r="G16" s="12">
        <v>25</v>
      </c>
      <c r="H16" s="8">
        <v>6.94</v>
      </c>
      <c r="I16" s="12">
        <v>0</v>
      </c>
    </row>
    <row r="17" spans="2:9" ht="15" customHeight="1" x14ac:dyDescent="0.2">
      <c r="B17" t="s">
        <v>87</v>
      </c>
      <c r="C17" s="12">
        <v>43</v>
      </c>
      <c r="D17" s="8">
        <v>4.66</v>
      </c>
      <c r="E17" s="12">
        <v>36</v>
      </c>
      <c r="F17" s="8">
        <v>6.42</v>
      </c>
      <c r="G17" s="12">
        <v>6</v>
      </c>
      <c r="H17" s="8">
        <v>1.67</v>
      </c>
      <c r="I17" s="12">
        <v>0</v>
      </c>
    </row>
    <row r="18" spans="2:9" ht="15" customHeight="1" x14ac:dyDescent="0.2">
      <c r="B18" t="s">
        <v>88</v>
      </c>
      <c r="C18" s="12">
        <v>57</v>
      </c>
      <c r="D18" s="8">
        <v>6.18</v>
      </c>
      <c r="E18" s="12">
        <v>38</v>
      </c>
      <c r="F18" s="8">
        <v>6.77</v>
      </c>
      <c r="G18" s="12">
        <v>18</v>
      </c>
      <c r="H18" s="8">
        <v>5</v>
      </c>
      <c r="I18" s="12">
        <v>0</v>
      </c>
    </row>
    <row r="19" spans="2:9" ht="15" customHeight="1" x14ac:dyDescent="0.2">
      <c r="B19" t="s">
        <v>89</v>
      </c>
      <c r="C19" s="12">
        <v>33</v>
      </c>
      <c r="D19" s="8">
        <v>3.58</v>
      </c>
      <c r="E19" s="12">
        <v>18</v>
      </c>
      <c r="F19" s="8">
        <v>3.21</v>
      </c>
      <c r="G19" s="12">
        <v>15</v>
      </c>
      <c r="H19" s="8">
        <v>4.17</v>
      </c>
      <c r="I19" s="12">
        <v>0</v>
      </c>
    </row>
    <row r="20" spans="2:9" ht="15" customHeight="1" x14ac:dyDescent="0.2">
      <c r="B20" s="9" t="s">
        <v>271</v>
      </c>
      <c r="C20" s="12">
        <f>SUM(LTBL_27232[総数／事業所数])</f>
        <v>923</v>
      </c>
      <c r="E20" s="12">
        <f>SUBTOTAL(109,LTBL_27232[個人／事業所数])</f>
        <v>561</v>
      </c>
      <c r="G20" s="12">
        <f>SUBTOTAL(109,LTBL_27232[法人／事業所数])</f>
        <v>360</v>
      </c>
      <c r="I20" s="12">
        <f>SUBTOTAL(109,LTBL_27232[法人以外の団体／事業所数])</f>
        <v>0</v>
      </c>
    </row>
    <row r="21" spans="2:9" ht="15" customHeight="1" x14ac:dyDescent="0.2">
      <c r="E21" s="11">
        <f>LTBL_27232[[#Totals],[個人／事業所数]]/LTBL_27232[[#Totals],[総数／事業所数]]</f>
        <v>0.60780065005417117</v>
      </c>
      <c r="G21" s="11">
        <f>LTBL_27232[[#Totals],[法人／事業所数]]/LTBL_27232[[#Totals],[総数／事業所数]]</f>
        <v>0.39003250270855905</v>
      </c>
      <c r="I21" s="11">
        <f>LTBL_27232[[#Totals],[法人以外の団体／事業所数]]/LTBL_27232[[#Totals],[総数／事業所数]]</f>
        <v>0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114</v>
      </c>
      <c r="C24" s="12">
        <v>99</v>
      </c>
      <c r="D24" s="8">
        <v>10.73</v>
      </c>
      <c r="E24" s="12">
        <v>86</v>
      </c>
      <c r="F24" s="8">
        <v>15.33</v>
      </c>
      <c r="G24" s="12">
        <v>13</v>
      </c>
      <c r="H24" s="8">
        <v>3.61</v>
      </c>
      <c r="I24" s="12">
        <v>0</v>
      </c>
    </row>
    <row r="25" spans="2:9" ht="15" customHeight="1" x14ac:dyDescent="0.2">
      <c r="B25" t="s">
        <v>108</v>
      </c>
      <c r="C25" s="12">
        <v>74</v>
      </c>
      <c r="D25" s="8">
        <v>8.02</v>
      </c>
      <c r="E25" s="12">
        <v>46</v>
      </c>
      <c r="F25" s="8">
        <v>8.1999999999999993</v>
      </c>
      <c r="G25" s="12">
        <v>28</v>
      </c>
      <c r="H25" s="8">
        <v>7.78</v>
      </c>
      <c r="I25" s="12">
        <v>0</v>
      </c>
    </row>
    <row r="26" spans="2:9" ht="15" customHeight="1" x14ac:dyDescent="0.2">
      <c r="B26" t="s">
        <v>110</v>
      </c>
      <c r="C26" s="12">
        <v>74</v>
      </c>
      <c r="D26" s="8">
        <v>8.02</v>
      </c>
      <c r="E26" s="12">
        <v>47</v>
      </c>
      <c r="F26" s="8">
        <v>8.3800000000000008</v>
      </c>
      <c r="G26" s="12">
        <v>27</v>
      </c>
      <c r="H26" s="8">
        <v>7.5</v>
      </c>
      <c r="I26" s="12">
        <v>0</v>
      </c>
    </row>
    <row r="27" spans="2:9" ht="15" customHeight="1" x14ac:dyDescent="0.2">
      <c r="B27" t="s">
        <v>98</v>
      </c>
      <c r="C27" s="12">
        <v>73</v>
      </c>
      <c r="D27" s="8">
        <v>7.91</v>
      </c>
      <c r="E27" s="12">
        <v>17</v>
      </c>
      <c r="F27" s="8">
        <v>3.03</v>
      </c>
      <c r="G27" s="12">
        <v>56</v>
      </c>
      <c r="H27" s="8">
        <v>15.56</v>
      </c>
      <c r="I27" s="12">
        <v>0</v>
      </c>
    </row>
    <row r="28" spans="2:9" ht="15" customHeight="1" x14ac:dyDescent="0.2">
      <c r="B28" t="s">
        <v>113</v>
      </c>
      <c r="C28" s="12">
        <v>73</v>
      </c>
      <c r="D28" s="8">
        <v>7.91</v>
      </c>
      <c r="E28" s="12">
        <v>68</v>
      </c>
      <c r="F28" s="8">
        <v>12.12</v>
      </c>
      <c r="G28" s="12">
        <v>5</v>
      </c>
      <c r="H28" s="8">
        <v>1.39</v>
      </c>
      <c r="I28" s="12">
        <v>0</v>
      </c>
    </row>
    <row r="29" spans="2:9" ht="15" customHeight="1" x14ac:dyDescent="0.2">
      <c r="B29" t="s">
        <v>106</v>
      </c>
      <c r="C29" s="12">
        <v>49</v>
      </c>
      <c r="D29" s="8">
        <v>5.31</v>
      </c>
      <c r="E29" s="12">
        <v>43</v>
      </c>
      <c r="F29" s="8">
        <v>7.66</v>
      </c>
      <c r="G29" s="12">
        <v>6</v>
      </c>
      <c r="H29" s="8">
        <v>1.67</v>
      </c>
      <c r="I29" s="12">
        <v>0</v>
      </c>
    </row>
    <row r="30" spans="2:9" ht="15" customHeight="1" x14ac:dyDescent="0.2">
      <c r="B30" t="s">
        <v>115</v>
      </c>
      <c r="C30" s="12">
        <v>43</v>
      </c>
      <c r="D30" s="8">
        <v>4.66</v>
      </c>
      <c r="E30" s="12">
        <v>36</v>
      </c>
      <c r="F30" s="8">
        <v>6.42</v>
      </c>
      <c r="G30" s="12">
        <v>6</v>
      </c>
      <c r="H30" s="8">
        <v>1.67</v>
      </c>
      <c r="I30" s="12">
        <v>0</v>
      </c>
    </row>
    <row r="31" spans="2:9" ht="15" customHeight="1" x14ac:dyDescent="0.2">
      <c r="B31" t="s">
        <v>116</v>
      </c>
      <c r="C31" s="12">
        <v>43</v>
      </c>
      <c r="D31" s="8">
        <v>4.66</v>
      </c>
      <c r="E31" s="12">
        <v>38</v>
      </c>
      <c r="F31" s="8">
        <v>6.77</v>
      </c>
      <c r="G31" s="12">
        <v>5</v>
      </c>
      <c r="H31" s="8">
        <v>1.39</v>
      </c>
      <c r="I31" s="12">
        <v>0</v>
      </c>
    </row>
    <row r="32" spans="2:9" ht="15" customHeight="1" x14ac:dyDescent="0.2">
      <c r="B32" t="s">
        <v>100</v>
      </c>
      <c r="C32" s="12">
        <v>41</v>
      </c>
      <c r="D32" s="8">
        <v>4.4400000000000004</v>
      </c>
      <c r="E32" s="12">
        <v>13</v>
      </c>
      <c r="F32" s="8">
        <v>2.3199999999999998</v>
      </c>
      <c r="G32" s="12">
        <v>28</v>
      </c>
      <c r="H32" s="8">
        <v>7.78</v>
      </c>
      <c r="I32" s="12">
        <v>0</v>
      </c>
    </row>
    <row r="33" spans="2:9" ht="15" customHeight="1" x14ac:dyDescent="0.2">
      <c r="B33" t="s">
        <v>99</v>
      </c>
      <c r="C33" s="12">
        <v>37</v>
      </c>
      <c r="D33" s="8">
        <v>4.01</v>
      </c>
      <c r="E33" s="12">
        <v>16</v>
      </c>
      <c r="F33" s="8">
        <v>2.85</v>
      </c>
      <c r="G33" s="12">
        <v>21</v>
      </c>
      <c r="H33" s="8">
        <v>5.83</v>
      </c>
      <c r="I33" s="12">
        <v>0</v>
      </c>
    </row>
    <row r="34" spans="2:9" ht="15" customHeight="1" x14ac:dyDescent="0.2">
      <c r="B34" t="s">
        <v>107</v>
      </c>
      <c r="C34" s="12">
        <v>28</v>
      </c>
      <c r="D34" s="8">
        <v>3.03</v>
      </c>
      <c r="E34" s="12">
        <v>25</v>
      </c>
      <c r="F34" s="8">
        <v>4.46</v>
      </c>
      <c r="G34" s="12">
        <v>3</v>
      </c>
      <c r="H34" s="8">
        <v>0.83</v>
      </c>
      <c r="I34" s="12">
        <v>0</v>
      </c>
    </row>
    <row r="35" spans="2:9" ht="15" customHeight="1" x14ac:dyDescent="0.2">
      <c r="B35" t="s">
        <v>111</v>
      </c>
      <c r="C35" s="12">
        <v>25</v>
      </c>
      <c r="D35" s="8">
        <v>2.71</v>
      </c>
      <c r="E35" s="12">
        <v>15</v>
      </c>
      <c r="F35" s="8">
        <v>2.67</v>
      </c>
      <c r="G35" s="12">
        <v>10</v>
      </c>
      <c r="H35" s="8">
        <v>2.78</v>
      </c>
      <c r="I35" s="12">
        <v>0</v>
      </c>
    </row>
    <row r="36" spans="2:9" ht="15" customHeight="1" x14ac:dyDescent="0.2">
      <c r="B36" t="s">
        <v>120</v>
      </c>
      <c r="C36" s="12">
        <v>21</v>
      </c>
      <c r="D36" s="8">
        <v>2.2799999999999998</v>
      </c>
      <c r="E36" s="12">
        <v>16</v>
      </c>
      <c r="F36" s="8">
        <v>2.85</v>
      </c>
      <c r="G36" s="12">
        <v>5</v>
      </c>
      <c r="H36" s="8">
        <v>1.39</v>
      </c>
      <c r="I36" s="12">
        <v>0</v>
      </c>
    </row>
    <row r="37" spans="2:9" ht="15" customHeight="1" x14ac:dyDescent="0.2">
      <c r="B37" t="s">
        <v>112</v>
      </c>
      <c r="C37" s="12">
        <v>21</v>
      </c>
      <c r="D37" s="8">
        <v>2.2799999999999998</v>
      </c>
      <c r="E37" s="12">
        <v>11</v>
      </c>
      <c r="F37" s="8">
        <v>1.96</v>
      </c>
      <c r="G37" s="12">
        <v>10</v>
      </c>
      <c r="H37" s="8">
        <v>2.78</v>
      </c>
      <c r="I37" s="12">
        <v>0</v>
      </c>
    </row>
    <row r="38" spans="2:9" ht="15" customHeight="1" x14ac:dyDescent="0.2">
      <c r="B38" t="s">
        <v>130</v>
      </c>
      <c r="C38" s="12">
        <v>19</v>
      </c>
      <c r="D38" s="8">
        <v>2.06</v>
      </c>
      <c r="E38" s="12">
        <v>11</v>
      </c>
      <c r="F38" s="8">
        <v>1.96</v>
      </c>
      <c r="G38" s="12">
        <v>8</v>
      </c>
      <c r="H38" s="8">
        <v>2.2200000000000002</v>
      </c>
      <c r="I38" s="12">
        <v>0</v>
      </c>
    </row>
    <row r="39" spans="2:9" ht="15" customHeight="1" x14ac:dyDescent="0.2">
      <c r="B39" t="s">
        <v>129</v>
      </c>
      <c r="C39" s="12">
        <v>17</v>
      </c>
      <c r="D39" s="8">
        <v>1.84</v>
      </c>
      <c r="E39" s="12">
        <v>14</v>
      </c>
      <c r="F39" s="8">
        <v>2.5</v>
      </c>
      <c r="G39" s="12">
        <v>3</v>
      </c>
      <c r="H39" s="8">
        <v>0.83</v>
      </c>
      <c r="I39" s="12">
        <v>0</v>
      </c>
    </row>
    <row r="40" spans="2:9" ht="15" customHeight="1" x14ac:dyDescent="0.2">
      <c r="B40" t="s">
        <v>105</v>
      </c>
      <c r="C40" s="12">
        <v>14</v>
      </c>
      <c r="D40" s="8">
        <v>1.52</v>
      </c>
      <c r="E40" s="12">
        <v>8</v>
      </c>
      <c r="F40" s="8">
        <v>1.43</v>
      </c>
      <c r="G40" s="12">
        <v>6</v>
      </c>
      <c r="H40" s="8">
        <v>1.67</v>
      </c>
      <c r="I40" s="12">
        <v>0</v>
      </c>
    </row>
    <row r="41" spans="2:9" ht="15" customHeight="1" x14ac:dyDescent="0.2">
      <c r="B41" t="s">
        <v>117</v>
      </c>
      <c r="C41" s="12">
        <v>14</v>
      </c>
      <c r="D41" s="8">
        <v>1.52</v>
      </c>
      <c r="E41" s="12">
        <v>0</v>
      </c>
      <c r="F41" s="8">
        <v>0</v>
      </c>
      <c r="G41" s="12">
        <v>13</v>
      </c>
      <c r="H41" s="8">
        <v>3.61</v>
      </c>
      <c r="I41" s="12">
        <v>0</v>
      </c>
    </row>
    <row r="42" spans="2:9" ht="15" customHeight="1" x14ac:dyDescent="0.2">
      <c r="B42" t="s">
        <v>145</v>
      </c>
      <c r="C42" s="12">
        <v>11</v>
      </c>
      <c r="D42" s="8">
        <v>1.19</v>
      </c>
      <c r="E42" s="12">
        <v>7</v>
      </c>
      <c r="F42" s="8">
        <v>1.25</v>
      </c>
      <c r="G42" s="12">
        <v>4</v>
      </c>
      <c r="H42" s="8">
        <v>1.1100000000000001</v>
      </c>
      <c r="I42" s="12">
        <v>0</v>
      </c>
    </row>
    <row r="43" spans="2:9" ht="15" customHeight="1" x14ac:dyDescent="0.2">
      <c r="B43" t="s">
        <v>122</v>
      </c>
      <c r="C43" s="12">
        <v>10</v>
      </c>
      <c r="D43" s="8">
        <v>1.08</v>
      </c>
      <c r="E43" s="12">
        <v>2</v>
      </c>
      <c r="F43" s="8">
        <v>0.36</v>
      </c>
      <c r="G43" s="12">
        <v>8</v>
      </c>
      <c r="H43" s="8">
        <v>2.2200000000000002</v>
      </c>
      <c r="I43" s="12">
        <v>0</v>
      </c>
    </row>
    <row r="46" spans="2:9" ht="33" customHeight="1" x14ac:dyDescent="0.2">
      <c r="B46" t="s">
        <v>273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169</v>
      </c>
      <c r="C47" s="12">
        <v>50</v>
      </c>
      <c r="D47" s="8">
        <v>5.42</v>
      </c>
      <c r="E47" s="12">
        <v>45</v>
      </c>
      <c r="F47" s="8">
        <v>8.02</v>
      </c>
      <c r="G47" s="12">
        <v>5</v>
      </c>
      <c r="H47" s="8">
        <v>1.39</v>
      </c>
      <c r="I47" s="12">
        <v>0</v>
      </c>
    </row>
    <row r="48" spans="2:9" ht="15" customHeight="1" x14ac:dyDescent="0.2">
      <c r="B48" t="s">
        <v>190</v>
      </c>
      <c r="C48" s="12">
        <v>36</v>
      </c>
      <c r="D48" s="8">
        <v>3.9</v>
      </c>
      <c r="E48" s="12">
        <v>6</v>
      </c>
      <c r="F48" s="8">
        <v>1.07</v>
      </c>
      <c r="G48" s="12">
        <v>30</v>
      </c>
      <c r="H48" s="8">
        <v>8.33</v>
      </c>
      <c r="I48" s="12">
        <v>0</v>
      </c>
    </row>
    <row r="49" spans="2:9" ht="15" customHeight="1" x14ac:dyDescent="0.2">
      <c r="B49" t="s">
        <v>171</v>
      </c>
      <c r="C49" s="12">
        <v>34</v>
      </c>
      <c r="D49" s="8">
        <v>3.68</v>
      </c>
      <c r="E49" s="12">
        <v>30</v>
      </c>
      <c r="F49" s="8">
        <v>5.35</v>
      </c>
      <c r="G49" s="12">
        <v>4</v>
      </c>
      <c r="H49" s="8">
        <v>1.1100000000000001</v>
      </c>
      <c r="I49" s="12">
        <v>0</v>
      </c>
    </row>
    <row r="50" spans="2:9" ht="15" customHeight="1" x14ac:dyDescent="0.2">
      <c r="B50" t="s">
        <v>161</v>
      </c>
      <c r="C50" s="12">
        <v>30</v>
      </c>
      <c r="D50" s="8">
        <v>3.25</v>
      </c>
      <c r="E50" s="12">
        <v>29</v>
      </c>
      <c r="F50" s="8">
        <v>5.17</v>
      </c>
      <c r="G50" s="12">
        <v>1</v>
      </c>
      <c r="H50" s="8">
        <v>0.28000000000000003</v>
      </c>
      <c r="I50" s="12">
        <v>0</v>
      </c>
    </row>
    <row r="51" spans="2:9" ht="15" customHeight="1" x14ac:dyDescent="0.2">
      <c r="B51" t="s">
        <v>168</v>
      </c>
      <c r="C51" s="12">
        <v>30</v>
      </c>
      <c r="D51" s="8">
        <v>3.25</v>
      </c>
      <c r="E51" s="12">
        <v>29</v>
      </c>
      <c r="F51" s="8">
        <v>5.17</v>
      </c>
      <c r="G51" s="12">
        <v>1</v>
      </c>
      <c r="H51" s="8">
        <v>0.28000000000000003</v>
      </c>
      <c r="I51" s="12">
        <v>0</v>
      </c>
    </row>
    <row r="52" spans="2:9" ht="15" customHeight="1" x14ac:dyDescent="0.2">
      <c r="B52" t="s">
        <v>170</v>
      </c>
      <c r="C52" s="12">
        <v>30</v>
      </c>
      <c r="D52" s="8">
        <v>3.25</v>
      </c>
      <c r="E52" s="12">
        <v>26</v>
      </c>
      <c r="F52" s="8">
        <v>4.63</v>
      </c>
      <c r="G52" s="12">
        <v>4</v>
      </c>
      <c r="H52" s="8">
        <v>1.1100000000000001</v>
      </c>
      <c r="I52" s="12">
        <v>0</v>
      </c>
    </row>
    <row r="53" spans="2:9" ht="15" customHeight="1" x14ac:dyDescent="0.2">
      <c r="B53" t="s">
        <v>160</v>
      </c>
      <c r="C53" s="12">
        <v>27</v>
      </c>
      <c r="D53" s="8">
        <v>2.93</v>
      </c>
      <c r="E53" s="12">
        <v>13</v>
      </c>
      <c r="F53" s="8">
        <v>2.3199999999999998</v>
      </c>
      <c r="G53" s="12">
        <v>14</v>
      </c>
      <c r="H53" s="8">
        <v>3.89</v>
      </c>
      <c r="I53" s="12">
        <v>0</v>
      </c>
    </row>
    <row r="54" spans="2:9" ht="15" customHeight="1" x14ac:dyDescent="0.2">
      <c r="B54" t="s">
        <v>153</v>
      </c>
      <c r="C54" s="12">
        <v>24</v>
      </c>
      <c r="D54" s="8">
        <v>2.6</v>
      </c>
      <c r="E54" s="12">
        <v>6</v>
      </c>
      <c r="F54" s="8">
        <v>1.07</v>
      </c>
      <c r="G54" s="12">
        <v>18</v>
      </c>
      <c r="H54" s="8">
        <v>5</v>
      </c>
      <c r="I54" s="12">
        <v>0</v>
      </c>
    </row>
    <row r="55" spans="2:9" ht="15" customHeight="1" x14ac:dyDescent="0.2">
      <c r="B55" t="s">
        <v>157</v>
      </c>
      <c r="C55" s="12">
        <v>24</v>
      </c>
      <c r="D55" s="8">
        <v>2.6</v>
      </c>
      <c r="E55" s="12">
        <v>17</v>
      </c>
      <c r="F55" s="8">
        <v>3.03</v>
      </c>
      <c r="G55" s="12">
        <v>7</v>
      </c>
      <c r="H55" s="8">
        <v>1.94</v>
      </c>
      <c r="I55" s="12">
        <v>0</v>
      </c>
    </row>
    <row r="56" spans="2:9" ht="15" customHeight="1" x14ac:dyDescent="0.2">
      <c r="B56" t="s">
        <v>215</v>
      </c>
      <c r="C56" s="12">
        <v>19</v>
      </c>
      <c r="D56" s="8">
        <v>2.06</v>
      </c>
      <c r="E56" s="12">
        <v>18</v>
      </c>
      <c r="F56" s="8">
        <v>3.21</v>
      </c>
      <c r="G56" s="12">
        <v>1</v>
      </c>
      <c r="H56" s="8">
        <v>0.28000000000000003</v>
      </c>
      <c r="I56" s="12">
        <v>0</v>
      </c>
    </row>
    <row r="57" spans="2:9" ht="15" customHeight="1" x14ac:dyDescent="0.2">
      <c r="B57" t="s">
        <v>167</v>
      </c>
      <c r="C57" s="12">
        <v>19</v>
      </c>
      <c r="D57" s="8">
        <v>2.06</v>
      </c>
      <c r="E57" s="12">
        <v>16</v>
      </c>
      <c r="F57" s="8">
        <v>2.85</v>
      </c>
      <c r="G57" s="12">
        <v>3</v>
      </c>
      <c r="H57" s="8">
        <v>0.83</v>
      </c>
      <c r="I57" s="12">
        <v>0</v>
      </c>
    </row>
    <row r="58" spans="2:9" ht="15" customHeight="1" x14ac:dyDescent="0.2">
      <c r="B58" t="s">
        <v>198</v>
      </c>
      <c r="C58" s="12">
        <v>17</v>
      </c>
      <c r="D58" s="8">
        <v>1.84</v>
      </c>
      <c r="E58" s="12">
        <v>14</v>
      </c>
      <c r="F58" s="8">
        <v>2.5</v>
      </c>
      <c r="G58" s="12">
        <v>3</v>
      </c>
      <c r="H58" s="8">
        <v>0.83</v>
      </c>
      <c r="I58" s="12">
        <v>0</v>
      </c>
    </row>
    <row r="59" spans="2:9" ht="15" customHeight="1" x14ac:dyDescent="0.2">
      <c r="B59" t="s">
        <v>156</v>
      </c>
      <c r="C59" s="12">
        <v>16</v>
      </c>
      <c r="D59" s="8">
        <v>1.73</v>
      </c>
      <c r="E59" s="12">
        <v>13</v>
      </c>
      <c r="F59" s="8">
        <v>2.3199999999999998</v>
      </c>
      <c r="G59" s="12">
        <v>3</v>
      </c>
      <c r="H59" s="8">
        <v>0.83</v>
      </c>
      <c r="I59" s="12">
        <v>0</v>
      </c>
    </row>
    <row r="60" spans="2:9" ht="15" customHeight="1" x14ac:dyDescent="0.2">
      <c r="B60" t="s">
        <v>172</v>
      </c>
      <c r="C60" s="12">
        <v>15</v>
      </c>
      <c r="D60" s="8">
        <v>1.63</v>
      </c>
      <c r="E60" s="12">
        <v>7</v>
      </c>
      <c r="F60" s="8">
        <v>1.25</v>
      </c>
      <c r="G60" s="12">
        <v>8</v>
      </c>
      <c r="H60" s="8">
        <v>2.2200000000000002</v>
      </c>
      <c r="I60" s="12">
        <v>0</v>
      </c>
    </row>
    <row r="61" spans="2:9" ht="15" customHeight="1" x14ac:dyDescent="0.2">
      <c r="B61" t="s">
        <v>237</v>
      </c>
      <c r="C61" s="12">
        <v>14</v>
      </c>
      <c r="D61" s="8">
        <v>1.52</v>
      </c>
      <c r="E61" s="12">
        <v>12</v>
      </c>
      <c r="F61" s="8">
        <v>2.14</v>
      </c>
      <c r="G61" s="12">
        <v>2</v>
      </c>
      <c r="H61" s="8">
        <v>0.56000000000000005</v>
      </c>
      <c r="I61" s="12">
        <v>0</v>
      </c>
    </row>
    <row r="62" spans="2:9" ht="15" customHeight="1" x14ac:dyDescent="0.2">
      <c r="B62" t="s">
        <v>152</v>
      </c>
      <c r="C62" s="12">
        <v>12</v>
      </c>
      <c r="D62" s="8">
        <v>1.3</v>
      </c>
      <c r="E62" s="12">
        <v>2</v>
      </c>
      <c r="F62" s="8">
        <v>0.36</v>
      </c>
      <c r="G62" s="12">
        <v>10</v>
      </c>
      <c r="H62" s="8">
        <v>2.78</v>
      </c>
      <c r="I62" s="12">
        <v>0</v>
      </c>
    </row>
    <row r="63" spans="2:9" ht="15" customHeight="1" x14ac:dyDescent="0.2">
      <c r="B63" t="s">
        <v>174</v>
      </c>
      <c r="C63" s="12">
        <v>12</v>
      </c>
      <c r="D63" s="8">
        <v>1.3</v>
      </c>
      <c r="E63" s="12">
        <v>7</v>
      </c>
      <c r="F63" s="8">
        <v>1.25</v>
      </c>
      <c r="G63" s="12">
        <v>5</v>
      </c>
      <c r="H63" s="8">
        <v>1.39</v>
      </c>
      <c r="I63" s="12">
        <v>0</v>
      </c>
    </row>
    <row r="64" spans="2:9" ht="15" customHeight="1" x14ac:dyDescent="0.2">
      <c r="B64" t="s">
        <v>181</v>
      </c>
      <c r="C64" s="12">
        <v>12</v>
      </c>
      <c r="D64" s="8">
        <v>1.3</v>
      </c>
      <c r="E64" s="12">
        <v>12</v>
      </c>
      <c r="F64" s="8">
        <v>2.14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159</v>
      </c>
      <c r="C65" s="12">
        <v>12</v>
      </c>
      <c r="D65" s="8">
        <v>1.3</v>
      </c>
      <c r="E65" s="12">
        <v>3</v>
      </c>
      <c r="F65" s="8">
        <v>0.53</v>
      </c>
      <c r="G65" s="12">
        <v>9</v>
      </c>
      <c r="H65" s="8">
        <v>2.5</v>
      </c>
      <c r="I65" s="12">
        <v>0</v>
      </c>
    </row>
    <row r="66" spans="2:9" ht="15" customHeight="1" x14ac:dyDescent="0.2">
      <c r="B66" t="s">
        <v>164</v>
      </c>
      <c r="C66" s="12">
        <v>12</v>
      </c>
      <c r="D66" s="8">
        <v>1.3</v>
      </c>
      <c r="E66" s="12">
        <v>12</v>
      </c>
      <c r="F66" s="8">
        <v>2.14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165</v>
      </c>
      <c r="C67" s="12">
        <v>12</v>
      </c>
      <c r="D67" s="8">
        <v>1.3</v>
      </c>
      <c r="E67" s="12">
        <v>12</v>
      </c>
      <c r="F67" s="8">
        <v>2.14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199</v>
      </c>
      <c r="C68" s="12">
        <v>12</v>
      </c>
      <c r="D68" s="8">
        <v>1.3</v>
      </c>
      <c r="E68" s="12">
        <v>10</v>
      </c>
      <c r="F68" s="8">
        <v>1.78</v>
      </c>
      <c r="G68" s="12">
        <v>2</v>
      </c>
      <c r="H68" s="8">
        <v>0.56000000000000005</v>
      </c>
      <c r="I68" s="12">
        <v>0</v>
      </c>
    </row>
    <row r="70" spans="2:9" ht="15" customHeight="1" x14ac:dyDescent="0.2">
      <c r="B70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94FAB-A7F2-4360-AEA8-22FC8A4CA7D3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276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249</v>
      </c>
      <c r="D6" s="8">
        <v>9.2100000000000009</v>
      </c>
      <c r="E6" s="12">
        <v>34</v>
      </c>
      <c r="F6" s="8">
        <v>2.74</v>
      </c>
      <c r="G6" s="12">
        <v>215</v>
      </c>
      <c r="H6" s="8">
        <v>14.77</v>
      </c>
      <c r="I6" s="12">
        <v>0</v>
      </c>
    </row>
    <row r="7" spans="2:9" ht="15" customHeight="1" x14ac:dyDescent="0.2">
      <c r="B7" t="s">
        <v>77</v>
      </c>
      <c r="C7" s="12">
        <v>254</v>
      </c>
      <c r="D7" s="8">
        <v>9.4</v>
      </c>
      <c r="E7" s="12">
        <v>93</v>
      </c>
      <c r="F7" s="8">
        <v>7.49</v>
      </c>
      <c r="G7" s="12">
        <v>161</v>
      </c>
      <c r="H7" s="8">
        <v>11.06</v>
      </c>
      <c r="I7" s="12">
        <v>0</v>
      </c>
    </row>
    <row r="8" spans="2:9" ht="15" customHeight="1" x14ac:dyDescent="0.2">
      <c r="B8" t="s">
        <v>78</v>
      </c>
      <c r="C8" s="12">
        <v>3</v>
      </c>
      <c r="D8" s="8">
        <v>0.11</v>
      </c>
      <c r="E8" s="12">
        <v>0</v>
      </c>
      <c r="F8" s="8">
        <v>0</v>
      </c>
      <c r="G8" s="12">
        <v>3</v>
      </c>
      <c r="H8" s="8">
        <v>0.21</v>
      </c>
      <c r="I8" s="12">
        <v>0</v>
      </c>
    </row>
    <row r="9" spans="2:9" ht="15" customHeight="1" x14ac:dyDescent="0.2">
      <c r="B9" t="s">
        <v>79</v>
      </c>
      <c r="C9" s="12">
        <v>42</v>
      </c>
      <c r="D9" s="8">
        <v>1.55</v>
      </c>
      <c r="E9" s="12">
        <v>3</v>
      </c>
      <c r="F9" s="8">
        <v>0.24</v>
      </c>
      <c r="G9" s="12">
        <v>39</v>
      </c>
      <c r="H9" s="8">
        <v>2.68</v>
      </c>
      <c r="I9" s="12">
        <v>0</v>
      </c>
    </row>
    <row r="10" spans="2:9" ht="15" customHeight="1" x14ac:dyDescent="0.2">
      <c r="B10" t="s">
        <v>80</v>
      </c>
      <c r="C10" s="12">
        <v>29</v>
      </c>
      <c r="D10" s="8">
        <v>1.07</v>
      </c>
      <c r="E10" s="12">
        <v>16</v>
      </c>
      <c r="F10" s="8">
        <v>1.29</v>
      </c>
      <c r="G10" s="12">
        <v>13</v>
      </c>
      <c r="H10" s="8">
        <v>0.89</v>
      </c>
      <c r="I10" s="12">
        <v>0</v>
      </c>
    </row>
    <row r="11" spans="2:9" ht="15" customHeight="1" x14ac:dyDescent="0.2">
      <c r="B11" t="s">
        <v>81</v>
      </c>
      <c r="C11" s="12">
        <v>560</v>
      </c>
      <c r="D11" s="8">
        <v>20.72</v>
      </c>
      <c r="E11" s="12">
        <v>224</v>
      </c>
      <c r="F11" s="8">
        <v>18.05</v>
      </c>
      <c r="G11" s="12">
        <v>336</v>
      </c>
      <c r="H11" s="8">
        <v>23.08</v>
      </c>
      <c r="I11" s="12">
        <v>0</v>
      </c>
    </row>
    <row r="12" spans="2:9" ht="15" customHeight="1" x14ac:dyDescent="0.2">
      <c r="B12" t="s">
        <v>82</v>
      </c>
      <c r="C12" s="12">
        <v>10</v>
      </c>
      <c r="D12" s="8">
        <v>0.37</v>
      </c>
      <c r="E12" s="12">
        <v>2</v>
      </c>
      <c r="F12" s="8">
        <v>0.16</v>
      </c>
      <c r="G12" s="12">
        <v>8</v>
      </c>
      <c r="H12" s="8">
        <v>0.55000000000000004</v>
      </c>
      <c r="I12" s="12">
        <v>0</v>
      </c>
    </row>
    <row r="13" spans="2:9" ht="15" customHeight="1" x14ac:dyDescent="0.2">
      <c r="B13" t="s">
        <v>83</v>
      </c>
      <c r="C13" s="12">
        <v>429</v>
      </c>
      <c r="D13" s="8">
        <v>15.87</v>
      </c>
      <c r="E13" s="12">
        <v>145</v>
      </c>
      <c r="F13" s="8">
        <v>11.68</v>
      </c>
      <c r="G13" s="12">
        <v>284</v>
      </c>
      <c r="H13" s="8">
        <v>19.510000000000002</v>
      </c>
      <c r="I13" s="12">
        <v>0</v>
      </c>
    </row>
    <row r="14" spans="2:9" ht="15" customHeight="1" x14ac:dyDescent="0.2">
      <c r="B14" t="s">
        <v>84</v>
      </c>
      <c r="C14" s="12">
        <v>163</v>
      </c>
      <c r="D14" s="8">
        <v>6.03</v>
      </c>
      <c r="E14" s="12">
        <v>84</v>
      </c>
      <c r="F14" s="8">
        <v>6.77</v>
      </c>
      <c r="G14" s="12">
        <v>79</v>
      </c>
      <c r="H14" s="8">
        <v>5.43</v>
      </c>
      <c r="I14" s="12">
        <v>0</v>
      </c>
    </row>
    <row r="15" spans="2:9" ht="15" customHeight="1" x14ac:dyDescent="0.2">
      <c r="B15" t="s">
        <v>85</v>
      </c>
      <c r="C15" s="12">
        <v>406</v>
      </c>
      <c r="D15" s="8">
        <v>15.02</v>
      </c>
      <c r="E15" s="12">
        <v>322</v>
      </c>
      <c r="F15" s="8">
        <v>25.95</v>
      </c>
      <c r="G15" s="12">
        <v>84</v>
      </c>
      <c r="H15" s="8">
        <v>5.77</v>
      </c>
      <c r="I15" s="12">
        <v>0</v>
      </c>
    </row>
    <row r="16" spans="2:9" ht="15" customHeight="1" x14ac:dyDescent="0.2">
      <c r="B16" t="s">
        <v>86</v>
      </c>
      <c r="C16" s="12">
        <v>247</v>
      </c>
      <c r="D16" s="8">
        <v>9.14</v>
      </c>
      <c r="E16" s="12">
        <v>157</v>
      </c>
      <c r="F16" s="8">
        <v>12.65</v>
      </c>
      <c r="G16" s="12">
        <v>90</v>
      </c>
      <c r="H16" s="8">
        <v>6.18</v>
      </c>
      <c r="I16" s="12">
        <v>0</v>
      </c>
    </row>
    <row r="17" spans="2:9" ht="15" customHeight="1" x14ac:dyDescent="0.2">
      <c r="B17" t="s">
        <v>87</v>
      </c>
      <c r="C17" s="12">
        <v>82</v>
      </c>
      <c r="D17" s="8">
        <v>3.03</v>
      </c>
      <c r="E17" s="12">
        <v>46</v>
      </c>
      <c r="F17" s="8">
        <v>3.71</v>
      </c>
      <c r="G17" s="12">
        <v>35</v>
      </c>
      <c r="H17" s="8">
        <v>2.4</v>
      </c>
      <c r="I17" s="12">
        <v>0</v>
      </c>
    </row>
    <row r="18" spans="2:9" ht="15" customHeight="1" x14ac:dyDescent="0.2">
      <c r="B18" t="s">
        <v>88</v>
      </c>
      <c r="C18" s="12">
        <v>156</v>
      </c>
      <c r="D18" s="8">
        <v>5.77</v>
      </c>
      <c r="E18" s="12">
        <v>93</v>
      </c>
      <c r="F18" s="8">
        <v>7.49</v>
      </c>
      <c r="G18" s="12">
        <v>61</v>
      </c>
      <c r="H18" s="8">
        <v>4.1900000000000004</v>
      </c>
      <c r="I18" s="12">
        <v>2</v>
      </c>
    </row>
    <row r="19" spans="2:9" ht="15" customHeight="1" x14ac:dyDescent="0.2">
      <c r="B19" t="s">
        <v>89</v>
      </c>
      <c r="C19" s="12">
        <v>73</v>
      </c>
      <c r="D19" s="8">
        <v>2.7</v>
      </c>
      <c r="E19" s="12">
        <v>22</v>
      </c>
      <c r="F19" s="8">
        <v>1.77</v>
      </c>
      <c r="G19" s="12">
        <v>48</v>
      </c>
      <c r="H19" s="8">
        <v>3.3</v>
      </c>
      <c r="I19" s="12">
        <v>3</v>
      </c>
    </row>
    <row r="20" spans="2:9" ht="15" customHeight="1" x14ac:dyDescent="0.2">
      <c r="B20" s="9" t="s">
        <v>271</v>
      </c>
      <c r="C20" s="12">
        <f>SUM(LTBL_27102[総数／事業所数])</f>
        <v>2703</v>
      </c>
      <c r="E20" s="12">
        <f>SUBTOTAL(109,LTBL_27102[個人／事業所数])</f>
        <v>1241</v>
      </c>
      <c r="G20" s="12">
        <f>SUBTOTAL(109,LTBL_27102[法人／事業所数])</f>
        <v>1456</v>
      </c>
      <c r="I20" s="12">
        <f>SUBTOTAL(109,LTBL_27102[法人以外の団体／事業所数])</f>
        <v>5</v>
      </c>
    </row>
    <row r="21" spans="2:9" ht="15" customHeight="1" x14ac:dyDescent="0.2">
      <c r="E21" s="11">
        <f>LTBL_27102[[#Totals],[個人／事業所数]]/LTBL_27102[[#Totals],[総数／事業所数]]</f>
        <v>0.45911949685534592</v>
      </c>
      <c r="G21" s="11">
        <f>LTBL_27102[[#Totals],[法人／事業所数]]/LTBL_27102[[#Totals],[総数／事業所数]]</f>
        <v>0.53866074731779501</v>
      </c>
      <c r="I21" s="11">
        <f>LTBL_27102[[#Totals],[法人以外の団体／事業所数]]/LTBL_27102[[#Totals],[総数／事業所数]]</f>
        <v>1.849796522382538E-3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113</v>
      </c>
      <c r="C24" s="12">
        <v>383</v>
      </c>
      <c r="D24" s="8">
        <v>14.17</v>
      </c>
      <c r="E24" s="12">
        <v>315</v>
      </c>
      <c r="F24" s="8">
        <v>25.38</v>
      </c>
      <c r="G24" s="12">
        <v>68</v>
      </c>
      <c r="H24" s="8">
        <v>4.67</v>
      </c>
      <c r="I24" s="12">
        <v>0</v>
      </c>
    </row>
    <row r="25" spans="2:9" ht="15" customHeight="1" x14ac:dyDescent="0.2">
      <c r="B25" t="s">
        <v>110</v>
      </c>
      <c r="C25" s="12">
        <v>373</v>
      </c>
      <c r="D25" s="8">
        <v>13.8</v>
      </c>
      <c r="E25" s="12">
        <v>134</v>
      </c>
      <c r="F25" s="8">
        <v>10.8</v>
      </c>
      <c r="G25" s="12">
        <v>239</v>
      </c>
      <c r="H25" s="8">
        <v>16.41</v>
      </c>
      <c r="I25" s="12">
        <v>0</v>
      </c>
    </row>
    <row r="26" spans="2:9" ht="15" customHeight="1" x14ac:dyDescent="0.2">
      <c r="B26" t="s">
        <v>114</v>
      </c>
      <c r="C26" s="12">
        <v>202</v>
      </c>
      <c r="D26" s="8">
        <v>7.47</v>
      </c>
      <c r="E26" s="12">
        <v>144</v>
      </c>
      <c r="F26" s="8">
        <v>11.6</v>
      </c>
      <c r="G26" s="12">
        <v>58</v>
      </c>
      <c r="H26" s="8">
        <v>3.98</v>
      </c>
      <c r="I26" s="12">
        <v>0</v>
      </c>
    </row>
    <row r="27" spans="2:9" ht="15" customHeight="1" x14ac:dyDescent="0.2">
      <c r="B27" t="s">
        <v>108</v>
      </c>
      <c r="C27" s="12">
        <v>150</v>
      </c>
      <c r="D27" s="8">
        <v>5.55</v>
      </c>
      <c r="E27" s="12">
        <v>94</v>
      </c>
      <c r="F27" s="8">
        <v>7.57</v>
      </c>
      <c r="G27" s="12">
        <v>56</v>
      </c>
      <c r="H27" s="8">
        <v>3.85</v>
      </c>
      <c r="I27" s="12">
        <v>0</v>
      </c>
    </row>
    <row r="28" spans="2:9" ht="15" customHeight="1" x14ac:dyDescent="0.2">
      <c r="B28" t="s">
        <v>116</v>
      </c>
      <c r="C28" s="12">
        <v>111</v>
      </c>
      <c r="D28" s="8">
        <v>4.1100000000000003</v>
      </c>
      <c r="E28" s="12">
        <v>93</v>
      </c>
      <c r="F28" s="8">
        <v>7.49</v>
      </c>
      <c r="G28" s="12">
        <v>18</v>
      </c>
      <c r="H28" s="8">
        <v>1.24</v>
      </c>
      <c r="I28" s="12">
        <v>0</v>
      </c>
    </row>
    <row r="29" spans="2:9" ht="15" customHeight="1" x14ac:dyDescent="0.2">
      <c r="B29" t="s">
        <v>111</v>
      </c>
      <c r="C29" s="12">
        <v>108</v>
      </c>
      <c r="D29" s="8">
        <v>4</v>
      </c>
      <c r="E29" s="12">
        <v>68</v>
      </c>
      <c r="F29" s="8">
        <v>5.48</v>
      </c>
      <c r="G29" s="12">
        <v>40</v>
      </c>
      <c r="H29" s="8">
        <v>2.75</v>
      </c>
      <c r="I29" s="12">
        <v>0</v>
      </c>
    </row>
    <row r="30" spans="2:9" ht="15" customHeight="1" x14ac:dyDescent="0.2">
      <c r="B30" t="s">
        <v>100</v>
      </c>
      <c r="C30" s="12">
        <v>99</v>
      </c>
      <c r="D30" s="8">
        <v>3.66</v>
      </c>
      <c r="E30" s="12">
        <v>11</v>
      </c>
      <c r="F30" s="8">
        <v>0.89</v>
      </c>
      <c r="G30" s="12">
        <v>88</v>
      </c>
      <c r="H30" s="8">
        <v>6.04</v>
      </c>
      <c r="I30" s="12">
        <v>0</v>
      </c>
    </row>
    <row r="31" spans="2:9" ht="15" customHeight="1" x14ac:dyDescent="0.2">
      <c r="B31" t="s">
        <v>106</v>
      </c>
      <c r="C31" s="12">
        <v>95</v>
      </c>
      <c r="D31" s="8">
        <v>3.51</v>
      </c>
      <c r="E31" s="12">
        <v>52</v>
      </c>
      <c r="F31" s="8">
        <v>4.1900000000000004</v>
      </c>
      <c r="G31" s="12">
        <v>43</v>
      </c>
      <c r="H31" s="8">
        <v>2.95</v>
      </c>
      <c r="I31" s="12">
        <v>0</v>
      </c>
    </row>
    <row r="32" spans="2:9" ht="15" customHeight="1" x14ac:dyDescent="0.2">
      <c r="B32" t="s">
        <v>115</v>
      </c>
      <c r="C32" s="12">
        <v>82</v>
      </c>
      <c r="D32" s="8">
        <v>3.03</v>
      </c>
      <c r="E32" s="12">
        <v>46</v>
      </c>
      <c r="F32" s="8">
        <v>3.71</v>
      </c>
      <c r="G32" s="12">
        <v>35</v>
      </c>
      <c r="H32" s="8">
        <v>2.4</v>
      </c>
      <c r="I32" s="12">
        <v>0</v>
      </c>
    </row>
    <row r="33" spans="2:9" ht="15" customHeight="1" x14ac:dyDescent="0.2">
      <c r="B33" t="s">
        <v>99</v>
      </c>
      <c r="C33" s="12">
        <v>76</v>
      </c>
      <c r="D33" s="8">
        <v>2.81</v>
      </c>
      <c r="E33" s="12">
        <v>15</v>
      </c>
      <c r="F33" s="8">
        <v>1.21</v>
      </c>
      <c r="G33" s="12">
        <v>61</v>
      </c>
      <c r="H33" s="8">
        <v>4.1900000000000004</v>
      </c>
      <c r="I33" s="12">
        <v>0</v>
      </c>
    </row>
    <row r="34" spans="2:9" ht="15" customHeight="1" x14ac:dyDescent="0.2">
      <c r="B34" t="s">
        <v>98</v>
      </c>
      <c r="C34" s="12">
        <v>74</v>
      </c>
      <c r="D34" s="8">
        <v>2.74</v>
      </c>
      <c r="E34" s="12">
        <v>8</v>
      </c>
      <c r="F34" s="8">
        <v>0.64</v>
      </c>
      <c r="G34" s="12">
        <v>66</v>
      </c>
      <c r="H34" s="8">
        <v>4.53</v>
      </c>
      <c r="I34" s="12">
        <v>0</v>
      </c>
    </row>
    <row r="35" spans="2:9" ht="15" customHeight="1" x14ac:dyDescent="0.2">
      <c r="B35" t="s">
        <v>105</v>
      </c>
      <c r="C35" s="12">
        <v>65</v>
      </c>
      <c r="D35" s="8">
        <v>2.4</v>
      </c>
      <c r="E35" s="12">
        <v>28</v>
      </c>
      <c r="F35" s="8">
        <v>2.2599999999999998</v>
      </c>
      <c r="G35" s="12">
        <v>37</v>
      </c>
      <c r="H35" s="8">
        <v>2.54</v>
      </c>
      <c r="I35" s="12">
        <v>0</v>
      </c>
    </row>
    <row r="36" spans="2:9" ht="15" customHeight="1" x14ac:dyDescent="0.2">
      <c r="B36" t="s">
        <v>103</v>
      </c>
      <c r="C36" s="12">
        <v>62</v>
      </c>
      <c r="D36" s="8">
        <v>2.29</v>
      </c>
      <c r="E36" s="12">
        <v>6</v>
      </c>
      <c r="F36" s="8">
        <v>0.48</v>
      </c>
      <c r="G36" s="12">
        <v>56</v>
      </c>
      <c r="H36" s="8">
        <v>3.85</v>
      </c>
      <c r="I36" s="12">
        <v>0</v>
      </c>
    </row>
    <row r="37" spans="2:9" ht="15" customHeight="1" x14ac:dyDescent="0.2">
      <c r="B37" t="s">
        <v>121</v>
      </c>
      <c r="C37" s="12">
        <v>60</v>
      </c>
      <c r="D37" s="8">
        <v>2.2200000000000002</v>
      </c>
      <c r="E37" s="12">
        <v>20</v>
      </c>
      <c r="F37" s="8">
        <v>1.61</v>
      </c>
      <c r="G37" s="12">
        <v>40</v>
      </c>
      <c r="H37" s="8">
        <v>2.75</v>
      </c>
      <c r="I37" s="12">
        <v>0</v>
      </c>
    </row>
    <row r="38" spans="2:9" ht="15" customHeight="1" x14ac:dyDescent="0.2">
      <c r="B38" t="s">
        <v>104</v>
      </c>
      <c r="C38" s="12">
        <v>56</v>
      </c>
      <c r="D38" s="8">
        <v>2.0699999999999998</v>
      </c>
      <c r="E38" s="12">
        <v>9</v>
      </c>
      <c r="F38" s="8">
        <v>0.73</v>
      </c>
      <c r="G38" s="12">
        <v>47</v>
      </c>
      <c r="H38" s="8">
        <v>3.23</v>
      </c>
      <c r="I38" s="12">
        <v>0</v>
      </c>
    </row>
    <row r="39" spans="2:9" ht="15" customHeight="1" x14ac:dyDescent="0.2">
      <c r="B39" t="s">
        <v>109</v>
      </c>
      <c r="C39" s="12">
        <v>48</v>
      </c>
      <c r="D39" s="8">
        <v>1.78</v>
      </c>
      <c r="E39" s="12">
        <v>9</v>
      </c>
      <c r="F39" s="8">
        <v>0.73</v>
      </c>
      <c r="G39" s="12">
        <v>39</v>
      </c>
      <c r="H39" s="8">
        <v>2.68</v>
      </c>
      <c r="I39" s="12">
        <v>0</v>
      </c>
    </row>
    <row r="40" spans="2:9" ht="15" customHeight="1" x14ac:dyDescent="0.2">
      <c r="B40" t="s">
        <v>112</v>
      </c>
      <c r="C40" s="12">
        <v>47</v>
      </c>
      <c r="D40" s="8">
        <v>1.74</v>
      </c>
      <c r="E40" s="12">
        <v>16</v>
      </c>
      <c r="F40" s="8">
        <v>1.29</v>
      </c>
      <c r="G40" s="12">
        <v>31</v>
      </c>
      <c r="H40" s="8">
        <v>2.13</v>
      </c>
      <c r="I40" s="12">
        <v>0</v>
      </c>
    </row>
    <row r="41" spans="2:9" ht="15" customHeight="1" x14ac:dyDescent="0.2">
      <c r="B41" t="s">
        <v>117</v>
      </c>
      <c r="C41" s="12">
        <v>45</v>
      </c>
      <c r="D41" s="8">
        <v>1.66</v>
      </c>
      <c r="E41" s="12">
        <v>0</v>
      </c>
      <c r="F41" s="8">
        <v>0</v>
      </c>
      <c r="G41" s="12">
        <v>43</v>
      </c>
      <c r="H41" s="8">
        <v>2.95</v>
      </c>
      <c r="I41" s="12">
        <v>2</v>
      </c>
    </row>
    <row r="42" spans="2:9" ht="15" customHeight="1" x14ac:dyDescent="0.2">
      <c r="B42" t="s">
        <v>120</v>
      </c>
      <c r="C42" s="12">
        <v>44</v>
      </c>
      <c r="D42" s="8">
        <v>1.63</v>
      </c>
      <c r="E42" s="12">
        <v>25</v>
      </c>
      <c r="F42" s="8">
        <v>2.0099999999999998</v>
      </c>
      <c r="G42" s="12">
        <v>19</v>
      </c>
      <c r="H42" s="8">
        <v>1.3</v>
      </c>
      <c r="I42" s="12">
        <v>0</v>
      </c>
    </row>
    <row r="43" spans="2:9" ht="15" customHeight="1" x14ac:dyDescent="0.2">
      <c r="B43" t="s">
        <v>107</v>
      </c>
      <c r="C43" s="12">
        <v>40</v>
      </c>
      <c r="D43" s="8">
        <v>1.48</v>
      </c>
      <c r="E43" s="12">
        <v>23</v>
      </c>
      <c r="F43" s="8">
        <v>1.85</v>
      </c>
      <c r="G43" s="12">
        <v>17</v>
      </c>
      <c r="H43" s="8">
        <v>1.17</v>
      </c>
      <c r="I43" s="12">
        <v>0</v>
      </c>
    </row>
    <row r="44" spans="2:9" ht="15" customHeight="1" x14ac:dyDescent="0.2">
      <c r="B44" t="s">
        <v>119</v>
      </c>
      <c r="C44" s="12">
        <v>40</v>
      </c>
      <c r="D44" s="8">
        <v>1.48</v>
      </c>
      <c r="E44" s="12">
        <v>9</v>
      </c>
      <c r="F44" s="8">
        <v>0.73</v>
      </c>
      <c r="G44" s="12">
        <v>29</v>
      </c>
      <c r="H44" s="8">
        <v>1.99</v>
      </c>
      <c r="I44" s="12">
        <v>2</v>
      </c>
    </row>
    <row r="47" spans="2:9" ht="33" customHeight="1" x14ac:dyDescent="0.2">
      <c r="B47" t="s">
        <v>273</v>
      </c>
      <c r="C47" s="10" t="s">
        <v>91</v>
      </c>
      <c r="D47" s="10" t="s">
        <v>92</v>
      </c>
      <c r="E47" s="10" t="s">
        <v>93</v>
      </c>
      <c r="F47" s="10" t="s">
        <v>94</v>
      </c>
      <c r="G47" s="10" t="s">
        <v>95</v>
      </c>
      <c r="H47" s="10" t="s">
        <v>96</v>
      </c>
      <c r="I47" s="10" t="s">
        <v>97</v>
      </c>
    </row>
    <row r="48" spans="2:9" ht="15" customHeight="1" x14ac:dyDescent="0.2">
      <c r="B48" t="s">
        <v>160</v>
      </c>
      <c r="C48" s="12">
        <v>223</v>
      </c>
      <c r="D48" s="8">
        <v>8.25</v>
      </c>
      <c r="E48" s="12">
        <v>91</v>
      </c>
      <c r="F48" s="8">
        <v>7.33</v>
      </c>
      <c r="G48" s="12">
        <v>132</v>
      </c>
      <c r="H48" s="8">
        <v>9.07</v>
      </c>
      <c r="I48" s="12">
        <v>0</v>
      </c>
    </row>
    <row r="49" spans="2:9" ht="15" customHeight="1" x14ac:dyDescent="0.2">
      <c r="B49" t="s">
        <v>165</v>
      </c>
      <c r="C49" s="12">
        <v>106</v>
      </c>
      <c r="D49" s="8">
        <v>3.92</v>
      </c>
      <c r="E49" s="12">
        <v>87</v>
      </c>
      <c r="F49" s="8">
        <v>7.01</v>
      </c>
      <c r="G49" s="12">
        <v>19</v>
      </c>
      <c r="H49" s="8">
        <v>1.3</v>
      </c>
      <c r="I49" s="12">
        <v>0</v>
      </c>
    </row>
    <row r="50" spans="2:9" ht="15" customHeight="1" x14ac:dyDescent="0.2">
      <c r="B50" t="s">
        <v>169</v>
      </c>
      <c r="C50" s="12">
        <v>101</v>
      </c>
      <c r="D50" s="8">
        <v>3.74</v>
      </c>
      <c r="E50" s="12">
        <v>76</v>
      </c>
      <c r="F50" s="8">
        <v>6.12</v>
      </c>
      <c r="G50" s="12">
        <v>25</v>
      </c>
      <c r="H50" s="8">
        <v>1.72</v>
      </c>
      <c r="I50" s="12">
        <v>0</v>
      </c>
    </row>
    <row r="51" spans="2:9" ht="15" customHeight="1" x14ac:dyDescent="0.2">
      <c r="B51" t="s">
        <v>164</v>
      </c>
      <c r="C51" s="12">
        <v>89</v>
      </c>
      <c r="D51" s="8">
        <v>3.29</v>
      </c>
      <c r="E51" s="12">
        <v>64</v>
      </c>
      <c r="F51" s="8">
        <v>5.16</v>
      </c>
      <c r="G51" s="12">
        <v>25</v>
      </c>
      <c r="H51" s="8">
        <v>1.72</v>
      </c>
      <c r="I51" s="12">
        <v>0</v>
      </c>
    </row>
    <row r="52" spans="2:9" ht="15" customHeight="1" x14ac:dyDescent="0.2">
      <c r="B52" t="s">
        <v>171</v>
      </c>
      <c r="C52" s="12">
        <v>85</v>
      </c>
      <c r="D52" s="8">
        <v>3.14</v>
      </c>
      <c r="E52" s="12">
        <v>71</v>
      </c>
      <c r="F52" s="8">
        <v>5.72</v>
      </c>
      <c r="G52" s="12">
        <v>14</v>
      </c>
      <c r="H52" s="8">
        <v>0.96</v>
      </c>
      <c r="I52" s="12">
        <v>0</v>
      </c>
    </row>
    <row r="53" spans="2:9" ht="15" customHeight="1" x14ac:dyDescent="0.2">
      <c r="B53" t="s">
        <v>167</v>
      </c>
      <c r="C53" s="12">
        <v>73</v>
      </c>
      <c r="D53" s="8">
        <v>2.7</v>
      </c>
      <c r="E53" s="12">
        <v>70</v>
      </c>
      <c r="F53" s="8">
        <v>5.64</v>
      </c>
      <c r="G53" s="12">
        <v>3</v>
      </c>
      <c r="H53" s="8">
        <v>0.21</v>
      </c>
      <c r="I53" s="12">
        <v>0</v>
      </c>
    </row>
    <row r="54" spans="2:9" ht="15" customHeight="1" x14ac:dyDescent="0.2">
      <c r="B54" t="s">
        <v>159</v>
      </c>
      <c r="C54" s="12">
        <v>63</v>
      </c>
      <c r="D54" s="8">
        <v>2.33</v>
      </c>
      <c r="E54" s="12">
        <v>15</v>
      </c>
      <c r="F54" s="8">
        <v>1.21</v>
      </c>
      <c r="G54" s="12">
        <v>48</v>
      </c>
      <c r="H54" s="8">
        <v>3.3</v>
      </c>
      <c r="I54" s="12">
        <v>0</v>
      </c>
    </row>
    <row r="55" spans="2:9" ht="15" customHeight="1" x14ac:dyDescent="0.2">
      <c r="B55" t="s">
        <v>166</v>
      </c>
      <c r="C55" s="12">
        <v>57</v>
      </c>
      <c r="D55" s="8">
        <v>2.11</v>
      </c>
      <c r="E55" s="12">
        <v>52</v>
      </c>
      <c r="F55" s="8">
        <v>4.1900000000000004</v>
      </c>
      <c r="G55" s="12">
        <v>5</v>
      </c>
      <c r="H55" s="8">
        <v>0.34</v>
      </c>
      <c r="I55" s="12">
        <v>0</v>
      </c>
    </row>
    <row r="56" spans="2:9" ht="15" customHeight="1" x14ac:dyDescent="0.2">
      <c r="B56" t="s">
        <v>170</v>
      </c>
      <c r="C56" s="12">
        <v>54</v>
      </c>
      <c r="D56" s="8">
        <v>2</v>
      </c>
      <c r="E56" s="12">
        <v>33</v>
      </c>
      <c r="F56" s="8">
        <v>2.66</v>
      </c>
      <c r="G56" s="12">
        <v>21</v>
      </c>
      <c r="H56" s="8">
        <v>1.44</v>
      </c>
      <c r="I56" s="12">
        <v>0</v>
      </c>
    </row>
    <row r="57" spans="2:9" ht="15" customHeight="1" x14ac:dyDescent="0.2">
      <c r="B57" t="s">
        <v>157</v>
      </c>
      <c r="C57" s="12">
        <v>53</v>
      </c>
      <c r="D57" s="8">
        <v>1.96</v>
      </c>
      <c r="E57" s="12">
        <v>41</v>
      </c>
      <c r="F57" s="8">
        <v>3.3</v>
      </c>
      <c r="G57" s="12">
        <v>12</v>
      </c>
      <c r="H57" s="8">
        <v>0.82</v>
      </c>
      <c r="I57" s="12">
        <v>0</v>
      </c>
    </row>
    <row r="58" spans="2:9" ht="15" customHeight="1" x14ac:dyDescent="0.2">
      <c r="B58" t="s">
        <v>162</v>
      </c>
      <c r="C58" s="12">
        <v>49</v>
      </c>
      <c r="D58" s="8">
        <v>1.81</v>
      </c>
      <c r="E58" s="12">
        <v>1</v>
      </c>
      <c r="F58" s="8">
        <v>0.08</v>
      </c>
      <c r="G58" s="12">
        <v>48</v>
      </c>
      <c r="H58" s="8">
        <v>3.3</v>
      </c>
      <c r="I58" s="12">
        <v>0</v>
      </c>
    </row>
    <row r="59" spans="2:9" ht="15" customHeight="1" x14ac:dyDescent="0.2">
      <c r="B59" t="s">
        <v>175</v>
      </c>
      <c r="C59" s="12">
        <v>44</v>
      </c>
      <c r="D59" s="8">
        <v>1.63</v>
      </c>
      <c r="E59" s="12">
        <v>16</v>
      </c>
      <c r="F59" s="8">
        <v>1.29</v>
      </c>
      <c r="G59" s="12">
        <v>28</v>
      </c>
      <c r="H59" s="8">
        <v>1.92</v>
      </c>
      <c r="I59" s="12">
        <v>0</v>
      </c>
    </row>
    <row r="60" spans="2:9" ht="15" customHeight="1" x14ac:dyDescent="0.2">
      <c r="B60" t="s">
        <v>176</v>
      </c>
      <c r="C60" s="12">
        <v>42</v>
      </c>
      <c r="D60" s="8">
        <v>1.55</v>
      </c>
      <c r="E60" s="12">
        <v>20</v>
      </c>
      <c r="F60" s="8">
        <v>1.61</v>
      </c>
      <c r="G60" s="12">
        <v>22</v>
      </c>
      <c r="H60" s="8">
        <v>1.51</v>
      </c>
      <c r="I60" s="12">
        <v>0</v>
      </c>
    </row>
    <row r="61" spans="2:9" ht="15" customHeight="1" x14ac:dyDescent="0.2">
      <c r="B61" t="s">
        <v>153</v>
      </c>
      <c r="C61" s="12">
        <v>41</v>
      </c>
      <c r="D61" s="8">
        <v>1.52</v>
      </c>
      <c r="E61" s="12">
        <v>3</v>
      </c>
      <c r="F61" s="8">
        <v>0.24</v>
      </c>
      <c r="G61" s="12">
        <v>38</v>
      </c>
      <c r="H61" s="8">
        <v>2.61</v>
      </c>
      <c r="I61" s="12">
        <v>0</v>
      </c>
    </row>
    <row r="62" spans="2:9" ht="15" customHeight="1" x14ac:dyDescent="0.2">
      <c r="B62" t="s">
        <v>156</v>
      </c>
      <c r="C62" s="12">
        <v>40</v>
      </c>
      <c r="D62" s="8">
        <v>1.48</v>
      </c>
      <c r="E62" s="12">
        <v>22</v>
      </c>
      <c r="F62" s="8">
        <v>1.77</v>
      </c>
      <c r="G62" s="12">
        <v>18</v>
      </c>
      <c r="H62" s="8">
        <v>1.24</v>
      </c>
      <c r="I62" s="12">
        <v>0</v>
      </c>
    </row>
    <row r="63" spans="2:9" ht="15" customHeight="1" x14ac:dyDescent="0.2">
      <c r="B63" t="s">
        <v>158</v>
      </c>
      <c r="C63" s="12">
        <v>39</v>
      </c>
      <c r="D63" s="8">
        <v>1.44</v>
      </c>
      <c r="E63" s="12">
        <v>8</v>
      </c>
      <c r="F63" s="8">
        <v>0.64</v>
      </c>
      <c r="G63" s="12">
        <v>31</v>
      </c>
      <c r="H63" s="8">
        <v>2.13</v>
      </c>
      <c r="I63" s="12">
        <v>0</v>
      </c>
    </row>
    <row r="64" spans="2:9" ht="15" customHeight="1" x14ac:dyDescent="0.2">
      <c r="B64" t="s">
        <v>161</v>
      </c>
      <c r="C64" s="12">
        <v>38</v>
      </c>
      <c r="D64" s="8">
        <v>1.41</v>
      </c>
      <c r="E64" s="12">
        <v>27</v>
      </c>
      <c r="F64" s="8">
        <v>2.1800000000000002</v>
      </c>
      <c r="G64" s="12">
        <v>11</v>
      </c>
      <c r="H64" s="8">
        <v>0.76</v>
      </c>
      <c r="I64" s="12">
        <v>0</v>
      </c>
    </row>
    <row r="65" spans="2:9" ht="15" customHeight="1" x14ac:dyDescent="0.2">
      <c r="B65" t="s">
        <v>155</v>
      </c>
      <c r="C65" s="12">
        <v>36</v>
      </c>
      <c r="D65" s="8">
        <v>1.33</v>
      </c>
      <c r="E65" s="12">
        <v>12</v>
      </c>
      <c r="F65" s="8">
        <v>0.97</v>
      </c>
      <c r="G65" s="12">
        <v>24</v>
      </c>
      <c r="H65" s="8">
        <v>1.65</v>
      </c>
      <c r="I65" s="12">
        <v>0</v>
      </c>
    </row>
    <row r="66" spans="2:9" ht="15" customHeight="1" x14ac:dyDescent="0.2">
      <c r="B66" t="s">
        <v>168</v>
      </c>
      <c r="C66" s="12">
        <v>36</v>
      </c>
      <c r="D66" s="8">
        <v>1.33</v>
      </c>
      <c r="E66" s="12">
        <v>34</v>
      </c>
      <c r="F66" s="8">
        <v>2.74</v>
      </c>
      <c r="G66" s="12">
        <v>2</v>
      </c>
      <c r="H66" s="8">
        <v>0.14000000000000001</v>
      </c>
      <c r="I66" s="12">
        <v>0</v>
      </c>
    </row>
    <row r="67" spans="2:9" ht="15" customHeight="1" x14ac:dyDescent="0.2">
      <c r="B67" t="s">
        <v>174</v>
      </c>
      <c r="C67" s="12">
        <v>34</v>
      </c>
      <c r="D67" s="8">
        <v>1.26</v>
      </c>
      <c r="E67" s="12">
        <v>6</v>
      </c>
      <c r="F67" s="8">
        <v>0.48</v>
      </c>
      <c r="G67" s="12">
        <v>28</v>
      </c>
      <c r="H67" s="8">
        <v>1.92</v>
      </c>
      <c r="I67" s="12">
        <v>0</v>
      </c>
    </row>
    <row r="68" spans="2:9" ht="15" customHeight="1" x14ac:dyDescent="0.2">
      <c r="B68" t="s">
        <v>172</v>
      </c>
      <c r="C68" s="12">
        <v>34</v>
      </c>
      <c r="D68" s="8">
        <v>1.26</v>
      </c>
      <c r="E68" s="12">
        <v>10</v>
      </c>
      <c r="F68" s="8">
        <v>0.81</v>
      </c>
      <c r="G68" s="12">
        <v>24</v>
      </c>
      <c r="H68" s="8">
        <v>1.65</v>
      </c>
      <c r="I68" s="12">
        <v>0</v>
      </c>
    </row>
    <row r="70" spans="2:9" ht="15" customHeight="1" x14ac:dyDescent="0.2">
      <c r="B70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75A0C-04CB-4631-BE0F-87D8E0B24927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339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47</v>
      </c>
      <c r="D6" s="8">
        <v>13.58</v>
      </c>
      <c r="E6" s="12">
        <v>8</v>
      </c>
      <c r="F6" s="8">
        <v>4.62</v>
      </c>
      <c r="G6" s="12">
        <v>39</v>
      </c>
      <c r="H6" s="8">
        <v>22.94</v>
      </c>
      <c r="I6" s="12">
        <v>0</v>
      </c>
    </row>
    <row r="7" spans="2:9" ht="15" customHeight="1" x14ac:dyDescent="0.2">
      <c r="B7" t="s">
        <v>77</v>
      </c>
      <c r="C7" s="12">
        <v>17</v>
      </c>
      <c r="D7" s="8">
        <v>4.91</v>
      </c>
      <c r="E7" s="12">
        <v>1</v>
      </c>
      <c r="F7" s="8">
        <v>0.57999999999999996</v>
      </c>
      <c r="G7" s="12">
        <v>16</v>
      </c>
      <c r="H7" s="8">
        <v>9.41</v>
      </c>
      <c r="I7" s="12">
        <v>0</v>
      </c>
    </row>
    <row r="8" spans="2:9" ht="15" customHeight="1" x14ac:dyDescent="0.2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79</v>
      </c>
      <c r="C9" s="12">
        <v>5</v>
      </c>
      <c r="D9" s="8">
        <v>1.45</v>
      </c>
      <c r="E9" s="12">
        <v>0</v>
      </c>
      <c r="F9" s="8">
        <v>0</v>
      </c>
      <c r="G9" s="12">
        <v>5</v>
      </c>
      <c r="H9" s="8">
        <v>2.94</v>
      </c>
      <c r="I9" s="12">
        <v>0</v>
      </c>
    </row>
    <row r="10" spans="2:9" ht="15" customHeight="1" x14ac:dyDescent="0.2">
      <c r="B10" t="s">
        <v>80</v>
      </c>
      <c r="C10" s="12">
        <v>5</v>
      </c>
      <c r="D10" s="8">
        <v>1.45</v>
      </c>
      <c r="E10" s="12">
        <v>1</v>
      </c>
      <c r="F10" s="8">
        <v>0.57999999999999996</v>
      </c>
      <c r="G10" s="12">
        <v>4</v>
      </c>
      <c r="H10" s="8">
        <v>2.35</v>
      </c>
      <c r="I10" s="12">
        <v>0</v>
      </c>
    </row>
    <row r="11" spans="2:9" ht="15" customHeight="1" x14ac:dyDescent="0.2">
      <c r="B11" t="s">
        <v>81</v>
      </c>
      <c r="C11" s="12">
        <v>73</v>
      </c>
      <c r="D11" s="8">
        <v>21.1</v>
      </c>
      <c r="E11" s="12">
        <v>41</v>
      </c>
      <c r="F11" s="8">
        <v>23.7</v>
      </c>
      <c r="G11" s="12">
        <v>32</v>
      </c>
      <c r="H11" s="8">
        <v>18.82</v>
      </c>
      <c r="I11" s="12">
        <v>0</v>
      </c>
    </row>
    <row r="12" spans="2:9" ht="15" customHeight="1" x14ac:dyDescent="0.2">
      <c r="B12" t="s">
        <v>82</v>
      </c>
      <c r="C12" s="12">
        <v>1</v>
      </c>
      <c r="D12" s="8">
        <v>0.28999999999999998</v>
      </c>
      <c r="E12" s="12">
        <v>1</v>
      </c>
      <c r="F12" s="8">
        <v>0.57999999999999996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83</v>
      </c>
      <c r="C13" s="12">
        <v>32</v>
      </c>
      <c r="D13" s="8">
        <v>9.25</v>
      </c>
      <c r="E13" s="12">
        <v>11</v>
      </c>
      <c r="F13" s="8">
        <v>6.36</v>
      </c>
      <c r="G13" s="12">
        <v>21</v>
      </c>
      <c r="H13" s="8">
        <v>12.35</v>
      </c>
      <c r="I13" s="12">
        <v>0</v>
      </c>
    </row>
    <row r="14" spans="2:9" ht="15" customHeight="1" x14ac:dyDescent="0.2">
      <c r="B14" t="s">
        <v>84</v>
      </c>
      <c r="C14" s="12">
        <v>18</v>
      </c>
      <c r="D14" s="8">
        <v>5.2</v>
      </c>
      <c r="E14" s="12">
        <v>7</v>
      </c>
      <c r="F14" s="8">
        <v>4.05</v>
      </c>
      <c r="G14" s="12">
        <v>11</v>
      </c>
      <c r="H14" s="8">
        <v>6.47</v>
      </c>
      <c r="I14" s="12">
        <v>0</v>
      </c>
    </row>
    <row r="15" spans="2:9" ht="15" customHeight="1" x14ac:dyDescent="0.2">
      <c r="B15" t="s">
        <v>85</v>
      </c>
      <c r="C15" s="12">
        <v>31</v>
      </c>
      <c r="D15" s="8">
        <v>8.9600000000000009</v>
      </c>
      <c r="E15" s="12">
        <v>26</v>
      </c>
      <c r="F15" s="8">
        <v>15.03</v>
      </c>
      <c r="G15" s="12">
        <v>5</v>
      </c>
      <c r="H15" s="8">
        <v>2.94</v>
      </c>
      <c r="I15" s="12">
        <v>0</v>
      </c>
    </row>
    <row r="16" spans="2:9" ht="15" customHeight="1" x14ac:dyDescent="0.2">
      <c r="B16" t="s">
        <v>86</v>
      </c>
      <c r="C16" s="12">
        <v>50</v>
      </c>
      <c r="D16" s="8">
        <v>14.45</v>
      </c>
      <c r="E16" s="12">
        <v>37</v>
      </c>
      <c r="F16" s="8">
        <v>21.39</v>
      </c>
      <c r="G16" s="12">
        <v>13</v>
      </c>
      <c r="H16" s="8">
        <v>7.65</v>
      </c>
      <c r="I16" s="12">
        <v>0</v>
      </c>
    </row>
    <row r="17" spans="2:9" ht="15" customHeight="1" x14ac:dyDescent="0.2">
      <c r="B17" t="s">
        <v>87</v>
      </c>
      <c r="C17" s="12">
        <v>28</v>
      </c>
      <c r="D17" s="8">
        <v>8.09</v>
      </c>
      <c r="E17" s="12">
        <v>22</v>
      </c>
      <c r="F17" s="8">
        <v>12.72</v>
      </c>
      <c r="G17" s="12">
        <v>5</v>
      </c>
      <c r="H17" s="8">
        <v>2.94</v>
      </c>
      <c r="I17" s="12">
        <v>0</v>
      </c>
    </row>
    <row r="18" spans="2:9" ht="15" customHeight="1" x14ac:dyDescent="0.2">
      <c r="B18" t="s">
        <v>88</v>
      </c>
      <c r="C18" s="12">
        <v>28</v>
      </c>
      <c r="D18" s="8">
        <v>8.09</v>
      </c>
      <c r="E18" s="12">
        <v>15</v>
      </c>
      <c r="F18" s="8">
        <v>8.67</v>
      </c>
      <c r="G18" s="12">
        <v>12</v>
      </c>
      <c r="H18" s="8">
        <v>7.06</v>
      </c>
      <c r="I18" s="12">
        <v>1</v>
      </c>
    </row>
    <row r="19" spans="2:9" ht="15" customHeight="1" x14ac:dyDescent="0.2">
      <c r="B19" t="s">
        <v>89</v>
      </c>
      <c r="C19" s="12">
        <v>11</v>
      </c>
      <c r="D19" s="8">
        <v>3.18</v>
      </c>
      <c r="E19" s="12">
        <v>3</v>
      </c>
      <c r="F19" s="8">
        <v>1.73</v>
      </c>
      <c r="G19" s="12">
        <v>7</v>
      </c>
      <c r="H19" s="8">
        <v>4.12</v>
      </c>
      <c r="I19" s="12">
        <v>0</v>
      </c>
    </row>
    <row r="20" spans="2:9" ht="15" customHeight="1" x14ac:dyDescent="0.2">
      <c r="B20" s="9" t="s">
        <v>271</v>
      </c>
      <c r="C20" s="12">
        <f>SUM(LTBL_27301[総数／事業所数])</f>
        <v>346</v>
      </c>
      <c r="E20" s="12">
        <f>SUBTOTAL(109,LTBL_27301[個人／事業所数])</f>
        <v>173</v>
      </c>
      <c r="G20" s="12">
        <f>SUBTOTAL(109,LTBL_27301[法人／事業所数])</f>
        <v>170</v>
      </c>
      <c r="I20" s="12">
        <f>SUBTOTAL(109,LTBL_27301[法人以外の団体／事業所数])</f>
        <v>1</v>
      </c>
    </row>
    <row r="21" spans="2:9" ht="15" customHeight="1" x14ac:dyDescent="0.2">
      <c r="E21" s="11">
        <f>LTBL_27301[[#Totals],[個人／事業所数]]/LTBL_27301[[#Totals],[総数／事業所数]]</f>
        <v>0.5</v>
      </c>
      <c r="G21" s="11">
        <f>LTBL_27301[[#Totals],[法人／事業所数]]/LTBL_27301[[#Totals],[総数／事業所数]]</f>
        <v>0.4913294797687861</v>
      </c>
      <c r="I21" s="11">
        <f>LTBL_27301[[#Totals],[法人以外の団体／事業所数]]/LTBL_27301[[#Totals],[総数／事業所数]]</f>
        <v>2.8901734104046241E-3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114</v>
      </c>
      <c r="C24" s="12">
        <v>41</v>
      </c>
      <c r="D24" s="8">
        <v>11.85</v>
      </c>
      <c r="E24" s="12">
        <v>33</v>
      </c>
      <c r="F24" s="8">
        <v>19.079999999999998</v>
      </c>
      <c r="G24" s="12">
        <v>8</v>
      </c>
      <c r="H24" s="8">
        <v>4.71</v>
      </c>
      <c r="I24" s="12">
        <v>0</v>
      </c>
    </row>
    <row r="25" spans="2:9" ht="15" customHeight="1" x14ac:dyDescent="0.2">
      <c r="B25" t="s">
        <v>115</v>
      </c>
      <c r="C25" s="12">
        <v>28</v>
      </c>
      <c r="D25" s="8">
        <v>8.09</v>
      </c>
      <c r="E25" s="12">
        <v>22</v>
      </c>
      <c r="F25" s="8">
        <v>12.72</v>
      </c>
      <c r="G25" s="12">
        <v>5</v>
      </c>
      <c r="H25" s="8">
        <v>2.94</v>
      </c>
      <c r="I25" s="12">
        <v>0</v>
      </c>
    </row>
    <row r="26" spans="2:9" ht="15" customHeight="1" x14ac:dyDescent="0.2">
      <c r="B26" t="s">
        <v>98</v>
      </c>
      <c r="C26" s="12">
        <v>27</v>
      </c>
      <c r="D26" s="8">
        <v>7.8</v>
      </c>
      <c r="E26" s="12">
        <v>2</v>
      </c>
      <c r="F26" s="8">
        <v>1.1599999999999999</v>
      </c>
      <c r="G26" s="12">
        <v>25</v>
      </c>
      <c r="H26" s="8">
        <v>14.71</v>
      </c>
      <c r="I26" s="12">
        <v>0</v>
      </c>
    </row>
    <row r="27" spans="2:9" ht="15" customHeight="1" x14ac:dyDescent="0.2">
      <c r="B27" t="s">
        <v>110</v>
      </c>
      <c r="C27" s="12">
        <v>27</v>
      </c>
      <c r="D27" s="8">
        <v>7.8</v>
      </c>
      <c r="E27" s="12">
        <v>8</v>
      </c>
      <c r="F27" s="8">
        <v>4.62</v>
      </c>
      <c r="G27" s="12">
        <v>19</v>
      </c>
      <c r="H27" s="8">
        <v>11.18</v>
      </c>
      <c r="I27" s="12">
        <v>0</v>
      </c>
    </row>
    <row r="28" spans="2:9" ht="15" customHeight="1" x14ac:dyDescent="0.2">
      <c r="B28" t="s">
        <v>113</v>
      </c>
      <c r="C28" s="12">
        <v>26</v>
      </c>
      <c r="D28" s="8">
        <v>7.51</v>
      </c>
      <c r="E28" s="12">
        <v>24</v>
      </c>
      <c r="F28" s="8">
        <v>13.87</v>
      </c>
      <c r="G28" s="12">
        <v>2</v>
      </c>
      <c r="H28" s="8">
        <v>1.18</v>
      </c>
      <c r="I28" s="12">
        <v>0</v>
      </c>
    </row>
    <row r="29" spans="2:9" ht="15" customHeight="1" x14ac:dyDescent="0.2">
      <c r="B29" t="s">
        <v>108</v>
      </c>
      <c r="C29" s="12">
        <v>21</v>
      </c>
      <c r="D29" s="8">
        <v>6.07</v>
      </c>
      <c r="E29" s="12">
        <v>14</v>
      </c>
      <c r="F29" s="8">
        <v>8.09</v>
      </c>
      <c r="G29" s="12">
        <v>7</v>
      </c>
      <c r="H29" s="8">
        <v>4.12</v>
      </c>
      <c r="I29" s="12">
        <v>0</v>
      </c>
    </row>
    <row r="30" spans="2:9" ht="15" customHeight="1" x14ac:dyDescent="0.2">
      <c r="B30" t="s">
        <v>106</v>
      </c>
      <c r="C30" s="12">
        <v>20</v>
      </c>
      <c r="D30" s="8">
        <v>5.78</v>
      </c>
      <c r="E30" s="12">
        <v>14</v>
      </c>
      <c r="F30" s="8">
        <v>8.09</v>
      </c>
      <c r="G30" s="12">
        <v>6</v>
      </c>
      <c r="H30" s="8">
        <v>3.53</v>
      </c>
      <c r="I30" s="12">
        <v>0</v>
      </c>
    </row>
    <row r="31" spans="2:9" ht="15" customHeight="1" x14ac:dyDescent="0.2">
      <c r="B31" t="s">
        <v>116</v>
      </c>
      <c r="C31" s="12">
        <v>18</v>
      </c>
      <c r="D31" s="8">
        <v>5.2</v>
      </c>
      <c r="E31" s="12">
        <v>14</v>
      </c>
      <c r="F31" s="8">
        <v>8.09</v>
      </c>
      <c r="G31" s="12">
        <v>4</v>
      </c>
      <c r="H31" s="8">
        <v>2.35</v>
      </c>
      <c r="I31" s="12">
        <v>0</v>
      </c>
    </row>
    <row r="32" spans="2:9" ht="15" customHeight="1" x14ac:dyDescent="0.2">
      <c r="B32" t="s">
        <v>100</v>
      </c>
      <c r="C32" s="12">
        <v>12</v>
      </c>
      <c r="D32" s="8">
        <v>3.47</v>
      </c>
      <c r="E32" s="12">
        <v>3</v>
      </c>
      <c r="F32" s="8">
        <v>1.73</v>
      </c>
      <c r="G32" s="12">
        <v>9</v>
      </c>
      <c r="H32" s="8">
        <v>5.29</v>
      </c>
      <c r="I32" s="12">
        <v>0</v>
      </c>
    </row>
    <row r="33" spans="2:9" ht="15" customHeight="1" x14ac:dyDescent="0.2">
      <c r="B33" t="s">
        <v>112</v>
      </c>
      <c r="C33" s="12">
        <v>11</v>
      </c>
      <c r="D33" s="8">
        <v>3.18</v>
      </c>
      <c r="E33" s="12">
        <v>4</v>
      </c>
      <c r="F33" s="8">
        <v>2.31</v>
      </c>
      <c r="G33" s="12">
        <v>7</v>
      </c>
      <c r="H33" s="8">
        <v>4.12</v>
      </c>
      <c r="I33" s="12">
        <v>0</v>
      </c>
    </row>
    <row r="34" spans="2:9" ht="15" customHeight="1" x14ac:dyDescent="0.2">
      <c r="B34" t="s">
        <v>117</v>
      </c>
      <c r="C34" s="12">
        <v>10</v>
      </c>
      <c r="D34" s="8">
        <v>2.89</v>
      </c>
      <c r="E34" s="12">
        <v>1</v>
      </c>
      <c r="F34" s="8">
        <v>0.57999999999999996</v>
      </c>
      <c r="G34" s="12">
        <v>8</v>
      </c>
      <c r="H34" s="8">
        <v>4.71</v>
      </c>
      <c r="I34" s="12">
        <v>1</v>
      </c>
    </row>
    <row r="35" spans="2:9" ht="15" customHeight="1" x14ac:dyDescent="0.2">
      <c r="B35" t="s">
        <v>107</v>
      </c>
      <c r="C35" s="12">
        <v>9</v>
      </c>
      <c r="D35" s="8">
        <v>2.6</v>
      </c>
      <c r="E35" s="12">
        <v>6</v>
      </c>
      <c r="F35" s="8">
        <v>3.47</v>
      </c>
      <c r="G35" s="12">
        <v>3</v>
      </c>
      <c r="H35" s="8">
        <v>1.76</v>
      </c>
      <c r="I35" s="12">
        <v>0</v>
      </c>
    </row>
    <row r="36" spans="2:9" ht="15" customHeight="1" x14ac:dyDescent="0.2">
      <c r="B36" t="s">
        <v>99</v>
      </c>
      <c r="C36" s="12">
        <v>8</v>
      </c>
      <c r="D36" s="8">
        <v>2.31</v>
      </c>
      <c r="E36" s="12">
        <v>3</v>
      </c>
      <c r="F36" s="8">
        <v>1.73</v>
      </c>
      <c r="G36" s="12">
        <v>5</v>
      </c>
      <c r="H36" s="8">
        <v>2.94</v>
      </c>
      <c r="I36" s="12">
        <v>0</v>
      </c>
    </row>
    <row r="37" spans="2:9" ht="15" customHeight="1" x14ac:dyDescent="0.2">
      <c r="B37" t="s">
        <v>111</v>
      </c>
      <c r="C37" s="12">
        <v>7</v>
      </c>
      <c r="D37" s="8">
        <v>2.02</v>
      </c>
      <c r="E37" s="12">
        <v>3</v>
      </c>
      <c r="F37" s="8">
        <v>1.73</v>
      </c>
      <c r="G37" s="12">
        <v>4</v>
      </c>
      <c r="H37" s="8">
        <v>2.35</v>
      </c>
      <c r="I37" s="12">
        <v>0</v>
      </c>
    </row>
    <row r="38" spans="2:9" ht="15" customHeight="1" x14ac:dyDescent="0.2">
      <c r="B38" t="s">
        <v>105</v>
      </c>
      <c r="C38" s="12">
        <v>6</v>
      </c>
      <c r="D38" s="8">
        <v>1.73</v>
      </c>
      <c r="E38" s="12">
        <v>5</v>
      </c>
      <c r="F38" s="8">
        <v>2.89</v>
      </c>
      <c r="G38" s="12">
        <v>1</v>
      </c>
      <c r="H38" s="8">
        <v>0.59</v>
      </c>
      <c r="I38" s="12">
        <v>0</v>
      </c>
    </row>
    <row r="39" spans="2:9" ht="15" customHeight="1" x14ac:dyDescent="0.2">
      <c r="B39" t="s">
        <v>130</v>
      </c>
      <c r="C39" s="12">
        <v>6</v>
      </c>
      <c r="D39" s="8">
        <v>1.73</v>
      </c>
      <c r="E39" s="12">
        <v>4</v>
      </c>
      <c r="F39" s="8">
        <v>2.31</v>
      </c>
      <c r="G39" s="12">
        <v>2</v>
      </c>
      <c r="H39" s="8">
        <v>1.18</v>
      </c>
      <c r="I39" s="12">
        <v>0</v>
      </c>
    </row>
    <row r="40" spans="2:9" ht="15" customHeight="1" x14ac:dyDescent="0.2">
      <c r="B40" t="s">
        <v>125</v>
      </c>
      <c r="C40" s="12">
        <v>5</v>
      </c>
      <c r="D40" s="8">
        <v>1.45</v>
      </c>
      <c r="E40" s="12">
        <v>0</v>
      </c>
      <c r="F40" s="8">
        <v>0</v>
      </c>
      <c r="G40" s="12">
        <v>5</v>
      </c>
      <c r="H40" s="8">
        <v>2.94</v>
      </c>
      <c r="I40" s="12">
        <v>0</v>
      </c>
    </row>
    <row r="41" spans="2:9" ht="15" customHeight="1" x14ac:dyDescent="0.2">
      <c r="B41" t="s">
        <v>109</v>
      </c>
      <c r="C41" s="12">
        <v>5</v>
      </c>
      <c r="D41" s="8">
        <v>1.45</v>
      </c>
      <c r="E41" s="12">
        <v>3</v>
      </c>
      <c r="F41" s="8">
        <v>1.73</v>
      </c>
      <c r="G41" s="12">
        <v>2</v>
      </c>
      <c r="H41" s="8">
        <v>1.18</v>
      </c>
      <c r="I41" s="12">
        <v>0</v>
      </c>
    </row>
    <row r="42" spans="2:9" ht="15" customHeight="1" x14ac:dyDescent="0.2">
      <c r="B42" t="s">
        <v>119</v>
      </c>
      <c r="C42" s="12">
        <v>5</v>
      </c>
      <c r="D42" s="8">
        <v>1.45</v>
      </c>
      <c r="E42" s="12">
        <v>1</v>
      </c>
      <c r="F42" s="8">
        <v>0.57999999999999996</v>
      </c>
      <c r="G42" s="12">
        <v>4</v>
      </c>
      <c r="H42" s="8">
        <v>2.35</v>
      </c>
      <c r="I42" s="12">
        <v>0</v>
      </c>
    </row>
    <row r="43" spans="2:9" ht="15" customHeight="1" x14ac:dyDescent="0.2">
      <c r="B43" t="s">
        <v>122</v>
      </c>
      <c r="C43" s="12">
        <v>4</v>
      </c>
      <c r="D43" s="8">
        <v>1.1599999999999999</v>
      </c>
      <c r="E43" s="12">
        <v>1</v>
      </c>
      <c r="F43" s="8">
        <v>0.57999999999999996</v>
      </c>
      <c r="G43" s="12">
        <v>3</v>
      </c>
      <c r="H43" s="8">
        <v>1.76</v>
      </c>
      <c r="I43" s="12">
        <v>0</v>
      </c>
    </row>
    <row r="44" spans="2:9" ht="15" customHeight="1" x14ac:dyDescent="0.2">
      <c r="B44" t="s">
        <v>102</v>
      </c>
      <c r="C44" s="12">
        <v>4</v>
      </c>
      <c r="D44" s="8">
        <v>1.1599999999999999</v>
      </c>
      <c r="E44" s="12">
        <v>1</v>
      </c>
      <c r="F44" s="8">
        <v>0.57999999999999996</v>
      </c>
      <c r="G44" s="12">
        <v>3</v>
      </c>
      <c r="H44" s="8">
        <v>1.76</v>
      </c>
      <c r="I44" s="12">
        <v>0</v>
      </c>
    </row>
    <row r="45" spans="2:9" ht="15" customHeight="1" x14ac:dyDescent="0.2">
      <c r="B45" t="s">
        <v>104</v>
      </c>
      <c r="C45" s="12">
        <v>4</v>
      </c>
      <c r="D45" s="8">
        <v>1.1599999999999999</v>
      </c>
      <c r="E45" s="12">
        <v>0</v>
      </c>
      <c r="F45" s="8">
        <v>0</v>
      </c>
      <c r="G45" s="12">
        <v>4</v>
      </c>
      <c r="H45" s="8">
        <v>2.35</v>
      </c>
      <c r="I45" s="12">
        <v>0</v>
      </c>
    </row>
    <row r="48" spans="2:9" ht="33" customHeight="1" x14ac:dyDescent="0.2">
      <c r="B48" t="s">
        <v>273</v>
      </c>
      <c r="C48" s="10" t="s">
        <v>91</v>
      </c>
      <c r="D48" s="10" t="s">
        <v>92</v>
      </c>
      <c r="E48" s="10" t="s">
        <v>93</v>
      </c>
      <c r="F48" s="10" t="s">
        <v>94</v>
      </c>
      <c r="G48" s="10" t="s">
        <v>95</v>
      </c>
      <c r="H48" s="10" t="s">
        <v>96</v>
      </c>
      <c r="I48" s="10" t="s">
        <v>97</v>
      </c>
    </row>
    <row r="49" spans="2:9" ht="15" customHeight="1" x14ac:dyDescent="0.2">
      <c r="B49" t="s">
        <v>170</v>
      </c>
      <c r="C49" s="12">
        <v>20</v>
      </c>
      <c r="D49" s="8">
        <v>5.78</v>
      </c>
      <c r="E49" s="12">
        <v>18</v>
      </c>
      <c r="F49" s="8">
        <v>10.4</v>
      </c>
      <c r="G49" s="12">
        <v>2</v>
      </c>
      <c r="H49" s="8">
        <v>1.18</v>
      </c>
      <c r="I49" s="12">
        <v>0</v>
      </c>
    </row>
    <row r="50" spans="2:9" ht="15" customHeight="1" x14ac:dyDescent="0.2">
      <c r="B50" t="s">
        <v>169</v>
      </c>
      <c r="C50" s="12">
        <v>15</v>
      </c>
      <c r="D50" s="8">
        <v>4.34</v>
      </c>
      <c r="E50" s="12">
        <v>14</v>
      </c>
      <c r="F50" s="8">
        <v>8.09</v>
      </c>
      <c r="G50" s="12">
        <v>1</v>
      </c>
      <c r="H50" s="8">
        <v>0.59</v>
      </c>
      <c r="I50" s="12">
        <v>0</v>
      </c>
    </row>
    <row r="51" spans="2:9" ht="15" customHeight="1" x14ac:dyDescent="0.2">
      <c r="B51" t="s">
        <v>168</v>
      </c>
      <c r="C51" s="12">
        <v>14</v>
      </c>
      <c r="D51" s="8">
        <v>4.05</v>
      </c>
      <c r="E51" s="12">
        <v>12</v>
      </c>
      <c r="F51" s="8">
        <v>6.94</v>
      </c>
      <c r="G51" s="12">
        <v>2</v>
      </c>
      <c r="H51" s="8">
        <v>1.18</v>
      </c>
      <c r="I51" s="12">
        <v>0</v>
      </c>
    </row>
    <row r="52" spans="2:9" ht="15" customHeight="1" x14ac:dyDescent="0.2">
      <c r="B52" t="s">
        <v>171</v>
      </c>
      <c r="C52" s="12">
        <v>14</v>
      </c>
      <c r="D52" s="8">
        <v>4.05</v>
      </c>
      <c r="E52" s="12">
        <v>12</v>
      </c>
      <c r="F52" s="8">
        <v>6.94</v>
      </c>
      <c r="G52" s="12">
        <v>2</v>
      </c>
      <c r="H52" s="8">
        <v>1.18</v>
      </c>
      <c r="I52" s="12">
        <v>0</v>
      </c>
    </row>
    <row r="53" spans="2:9" ht="15" customHeight="1" x14ac:dyDescent="0.2">
      <c r="B53" t="s">
        <v>160</v>
      </c>
      <c r="C53" s="12">
        <v>13</v>
      </c>
      <c r="D53" s="8">
        <v>3.76</v>
      </c>
      <c r="E53" s="12">
        <v>4</v>
      </c>
      <c r="F53" s="8">
        <v>2.31</v>
      </c>
      <c r="G53" s="12">
        <v>9</v>
      </c>
      <c r="H53" s="8">
        <v>5.29</v>
      </c>
      <c r="I53" s="12">
        <v>0</v>
      </c>
    </row>
    <row r="54" spans="2:9" ht="15" customHeight="1" x14ac:dyDescent="0.2">
      <c r="B54" t="s">
        <v>190</v>
      </c>
      <c r="C54" s="12">
        <v>10</v>
      </c>
      <c r="D54" s="8">
        <v>2.89</v>
      </c>
      <c r="E54" s="12">
        <v>2</v>
      </c>
      <c r="F54" s="8">
        <v>1.1599999999999999</v>
      </c>
      <c r="G54" s="12">
        <v>8</v>
      </c>
      <c r="H54" s="8">
        <v>4.71</v>
      </c>
      <c r="I54" s="12">
        <v>0</v>
      </c>
    </row>
    <row r="55" spans="2:9" ht="15" customHeight="1" x14ac:dyDescent="0.2">
      <c r="B55" t="s">
        <v>152</v>
      </c>
      <c r="C55" s="12">
        <v>10</v>
      </c>
      <c r="D55" s="8">
        <v>2.89</v>
      </c>
      <c r="E55" s="12">
        <v>0</v>
      </c>
      <c r="F55" s="8">
        <v>0</v>
      </c>
      <c r="G55" s="12">
        <v>10</v>
      </c>
      <c r="H55" s="8">
        <v>5.88</v>
      </c>
      <c r="I55" s="12">
        <v>0</v>
      </c>
    </row>
    <row r="56" spans="2:9" ht="15" customHeight="1" x14ac:dyDescent="0.2">
      <c r="B56" t="s">
        <v>181</v>
      </c>
      <c r="C56" s="12">
        <v>8</v>
      </c>
      <c r="D56" s="8">
        <v>2.31</v>
      </c>
      <c r="E56" s="12">
        <v>7</v>
      </c>
      <c r="F56" s="8">
        <v>4.05</v>
      </c>
      <c r="G56" s="12">
        <v>1</v>
      </c>
      <c r="H56" s="8">
        <v>0.59</v>
      </c>
      <c r="I56" s="12">
        <v>0</v>
      </c>
    </row>
    <row r="57" spans="2:9" ht="15" customHeight="1" x14ac:dyDescent="0.2">
      <c r="B57" t="s">
        <v>172</v>
      </c>
      <c r="C57" s="12">
        <v>7</v>
      </c>
      <c r="D57" s="8">
        <v>2.02</v>
      </c>
      <c r="E57" s="12">
        <v>3</v>
      </c>
      <c r="F57" s="8">
        <v>1.73</v>
      </c>
      <c r="G57" s="12">
        <v>4</v>
      </c>
      <c r="H57" s="8">
        <v>2.35</v>
      </c>
      <c r="I57" s="12">
        <v>0</v>
      </c>
    </row>
    <row r="58" spans="2:9" ht="15" customHeight="1" x14ac:dyDescent="0.2">
      <c r="B58" t="s">
        <v>166</v>
      </c>
      <c r="C58" s="12">
        <v>7</v>
      </c>
      <c r="D58" s="8">
        <v>2.02</v>
      </c>
      <c r="E58" s="12">
        <v>7</v>
      </c>
      <c r="F58" s="8">
        <v>4.05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209</v>
      </c>
      <c r="C59" s="12">
        <v>7</v>
      </c>
      <c r="D59" s="8">
        <v>2.02</v>
      </c>
      <c r="E59" s="12">
        <v>1</v>
      </c>
      <c r="F59" s="8">
        <v>0.57999999999999996</v>
      </c>
      <c r="G59" s="12">
        <v>6</v>
      </c>
      <c r="H59" s="8">
        <v>3.53</v>
      </c>
      <c r="I59" s="12">
        <v>0</v>
      </c>
    </row>
    <row r="60" spans="2:9" ht="15" customHeight="1" x14ac:dyDescent="0.2">
      <c r="B60" t="s">
        <v>167</v>
      </c>
      <c r="C60" s="12">
        <v>6</v>
      </c>
      <c r="D60" s="8">
        <v>1.73</v>
      </c>
      <c r="E60" s="12">
        <v>5</v>
      </c>
      <c r="F60" s="8">
        <v>2.89</v>
      </c>
      <c r="G60" s="12">
        <v>1</v>
      </c>
      <c r="H60" s="8">
        <v>0.59</v>
      </c>
      <c r="I60" s="12">
        <v>0</v>
      </c>
    </row>
    <row r="61" spans="2:9" ht="15" customHeight="1" x14ac:dyDescent="0.2">
      <c r="B61" t="s">
        <v>236</v>
      </c>
      <c r="C61" s="12">
        <v>6</v>
      </c>
      <c r="D61" s="8">
        <v>1.73</v>
      </c>
      <c r="E61" s="12">
        <v>4</v>
      </c>
      <c r="F61" s="8">
        <v>2.31</v>
      </c>
      <c r="G61" s="12">
        <v>2</v>
      </c>
      <c r="H61" s="8">
        <v>1.18</v>
      </c>
      <c r="I61" s="12">
        <v>0</v>
      </c>
    </row>
    <row r="62" spans="2:9" ht="15" customHeight="1" x14ac:dyDescent="0.2">
      <c r="B62" t="s">
        <v>199</v>
      </c>
      <c r="C62" s="12">
        <v>6</v>
      </c>
      <c r="D62" s="8">
        <v>1.73</v>
      </c>
      <c r="E62" s="12">
        <v>4</v>
      </c>
      <c r="F62" s="8">
        <v>2.31</v>
      </c>
      <c r="G62" s="12">
        <v>2</v>
      </c>
      <c r="H62" s="8">
        <v>1.18</v>
      </c>
      <c r="I62" s="12">
        <v>0</v>
      </c>
    </row>
    <row r="63" spans="2:9" ht="15" customHeight="1" x14ac:dyDescent="0.2">
      <c r="B63" t="s">
        <v>185</v>
      </c>
      <c r="C63" s="12">
        <v>5</v>
      </c>
      <c r="D63" s="8">
        <v>1.45</v>
      </c>
      <c r="E63" s="12">
        <v>0</v>
      </c>
      <c r="F63" s="8">
        <v>0</v>
      </c>
      <c r="G63" s="12">
        <v>5</v>
      </c>
      <c r="H63" s="8">
        <v>2.94</v>
      </c>
      <c r="I63" s="12">
        <v>0</v>
      </c>
    </row>
    <row r="64" spans="2:9" ht="15" customHeight="1" x14ac:dyDescent="0.2">
      <c r="B64" t="s">
        <v>156</v>
      </c>
      <c r="C64" s="12">
        <v>5</v>
      </c>
      <c r="D64" s="8">
        <v>1.45</v>
      </c>
      <c r="E64" s="12">
        <v>2</v>
      </c>
      <c r="F64" s="8">
        <v>1.1599999999999999</v>
      </c>
      <c r="G64" s="12">
        <v>3</v>
      </c>
      <c r="H64" s="8">
        <v>1.76</v>
      </c>
      <c r="I64" s="12">
        <v>0</v>
      </c>
    </row>
    <row r="65" spans="2:9" ht="15" customHeight="1" x14ac:dyDescent="0.2">
      <c r="B65" t="s">
        <v>176</v>
      </c>
      <c r="C65" s="12">
        <v>5</v>
      </c>
      <c r="D65" s="8">
        <v>1.45</v>
      </c>
      <c r="E65" s="12">
        <v>3</v>
      </c>
      <c r="F65" s="8">
        <v>1.73</v>
      </c>
      <c r="G65" s="12">
        <v>2</v>
      </c>
      <c r="H65" s="8">
        <v>1.18</v>
      </c>
      <c r="I65" s="12">
        <v>0</v>
      </c>
    </row>
    <row r="66" spans="2:9" ht="15" customHeight="1" x14ac:dyDescent="0.2">
      <c r="B66" t="s">
        <v>161</v>
      </c>
      <c r="C66" s="12">
        <v>5</v>
      </c>
      <c r="D66" s="8">
        <v>1.45</v>
      </c>
      <c r="E66" s="12">
        <v>3</v>
      </c>
      <c r="F66" s="8">
        <v>1.73</v>
      </c>
      <c r="G66" s="12">
        <v>2</v>
      </c>
      <c r="H66" s="8">
        <v>1.18</v>
      </c>
      <c r="I66" s="12">
        <v>0</v>
      </c>
    </row>
    <row r="67" spans="2:9" ht="15" customHeight="1" x14ac:dyDescent="0.2">
      <c r="B67" t="s">
        <v>162</v>
      </c>
      <c r="C67" s="12">
        <v>5</v>
      </c>
      <c r="D67" s="8">
        <v>1.45</v>
      </c>
      <c r="E67" s="12">
        <v>0</v>
      </c>
      <c r="F67" s="8">
        <v>0</v>
      </c>
      <c r="G67" s="12">
        <v>5</v>
      </c>
      <c r="H67" s="8">
        <v>2.94</v>
      </c>
      <c r="I67" s="12">
        <v>0</v>
      </c>
    </row>
    <row r="68" spans="2:9" ht="15" customHeight="1" x14ac:dyDescent="0.2">
      <c r="B68" t="s">
        <v>164</v>
      </c>
      <c r="C68" s="12">
        <v>5</v>
      </c>
      <c r="D68" s="8">
        <v>1.45</v>
      </c>
      <c r="E68" s="12">
        <v>5</v>
      </c>
      <c r="F68" s="8">
        <v>2.89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165</v>
      </c>
      <c r="C69" s="12">
        <v>5</v>
      </c>
      <c r="D69" s="8">
        <v>1.45</v>
      </c>
      <c r="E69" s="12">
        <v>5</v>
      </c>
      <c r="F69" s="8">
        <v>2.89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196</v>
      </c>
      <c r="C70" s="12">
        <v>5</v>
      </c>
      <c r="D70" s="8">
        <v>1.45</v>
      </c>
      <c r="E70" s="12">
        <v>2</v>
      </c>
      <c r="F70" s="8">
        <v>1.1599999999999999</v>
      </c>
      <c r="G70" s="12">
        <v>3</v>
      </c>
      <c r="H70" s="8">
        <v>1.76</v>
      </c>
      <c r="I70" s="12">
        <v>0</v>
      </c>
    </row>
    <row r="71" spans="2:9" ht="15" customHeight="1" x14ac:dyDescent="0.2">
      <c r="B71" t="s">
        <v>223</v>
      </c>
      <c r="C71" s="12">
        <v>5</v>
      </c>
      <c r="D71" s="8">
        <v>1.45</v>
      </c>
      <c r="E71" s="12">
        <v>4</v>
      </c>
      <c r="F71" s="8">
        <v>2.31</v>
      </c>
      <c r="G71" s="12">
        <v>1</v>
      </c>
      <c r="H71" s="8">
        <v>0.59</v>
      </c>
      <c r="I71" s="12">
        <v>0</v>
      </c>
    </row>
    <row r="73" spans="2:9" ht="15" customHeight="1" x14ac:dyDescent="0.2">
      <c r="B73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D2237-07E7-4F7F-BEC5-D1E6E7D44BF3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340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50</v>
      </c>
      <c r="D6" s="8">
        <v>20</v>
      </c>
      <c r="E6" s="12">
        <v>20</v>
      </c>
      <c r="F6" s="8">
        <v>16.670000000000002</v>
      </c>
      <c r="G6" s="12">
        <v>30</v>
      </c>
      <c r="H6" s="8">
        <v>24.79</v>
      </c>
      <c r="I6" s="12">
        <v>0</v>
      </c>
    </row>
    <row r="7" spans="2:9" ht="15" customHeight="1" x14ac:dyDescent="0.2">
      <c r="B7" t="s">
        <v>77</v>
      </c>
      <c r="C7" s="12">
        <v>17</v>
      </c>
      <c r="D7" s="8">
        <v>6.8</v>
      </c>
      <c r="E7" s="12">
        <v>5</v>
      </c>
      <c r="F7" s="8">
        <v>4.17</v>
      </c>
      <c r="G7" s="12">
        <v>12</v>
      </c>
      <c r="H7" s="8">
        <v>9.92</v>
      </c>
      <c r="I7" s="12">
        <v>0</v>
      </c>
    </row>
    <row r="8" spans="2:9" ht="15" customHeight="1" x14ac:dyDescent="0.2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79</v>
      </c>
      <c r="C9" s="12">
        <v>4</v>
      </c>
      <c r="D9" s="8">
        <v>1.6</v>
      </c>
      <c r="E9" s="12">
        <v>0</v>
      </c>
      <c r="F9" s="8">
        <v>0</v>
      </c>
      <c r="G9" s="12">
        <v>4</v>
      </c>
      <c r="H9" s="8">
        <v>3.31</v>
      </c>
      <c r="I9" s="12">
        <v>0</v>
      </c>
    </row>
    <row r="10" spans="2:9" ht="15" customHeight="1" x14ac:dyDescent="0.2">
      <c r="B10" t="s">
        <v>80</v>
      </c>
      <c r="C10" s="12">
        <v>8</v>
      </c>
      <c r="D10" s="8">
        <v>3.2</v>
      </c>
      <c r="E10" s="12">
        <v>2</v>
      </c>
      <c r="F10" s="8">
        <v>1.67</v>
      </c>
      <c r="G10" s="12">
        <v>6</v>
      </c>
      <c r="H10" s="8">
        <v>4.96</v>
      </c>
      <c r="I10" s="12">
        <v>0</v>
      </c>
    </row>
    <row r="11" spans="2:9" ht="15" customHeight="1" x14ac:dyDescent="0.2">
      <c r="B11" t="s">
        <v>81</v>
      </c>
      <c r="C11" s="12">
        <v>51</v>
      </c>
      <c r="D11" s="8">
        <v>20.399999999999999</v>
      </c>
      <c r="E11" s="12">
        <v>28</v>
      </c>
      <c r="F11" s="8">
        <v>23.33</v>
      </c>
      <c r="G11" s="12">
        <v>23</v>
      </c>
      <c r="H11" s="8">
        <v>19.010000000000002</v>
      </c>
      <c r="I11" s="12">
        <v>0</v>
      </c>
    </row>
    <row r="12" spans="2:9" ht="15" customHeight="1" x14ac:dyDescent="0.2">
      <c r="B12" t="s">
        <v>82</v>
      </c>
      <c r="C12" s="12">
        <v>2</v>
      </c>
      <c r="D12" s="8">
        <v>0.8</v>
      </c>
      <c r="E12" s="12">
        <v>0</v>
      </c>
      <c r="F12" s="8">
        <v>0</v>
      </c>
      <c r="G12" s="12">
        <v>2</v>
      </c>
      <c r="H12" s="8">
        <v>1.65</v>
      </c>
      <c r="I12" s="12">
        <v>0</v>
      </c>
    </row>
    <row r="13" spans="2:9" ht="15" customHeight="1" x14ac:dyDescent="0.2">
      <c r="B13" t="s">
        <v>83</v>
      </c>
      <c r="C13" s="12">
        <v>11</v>
      </c>
      <c r="D13" s="8">
        <v>4.4000000000000004</v>
      </c>
      <c r="E13" s="12">
        <v>4</v>
      </c>
      <c r="F13" s="8">
        <v>3.33</v>
      </c>
      <c r="G13" s="12">
        <v>7</v>
      </c>
      <c r="H13" s="8">
        <v>5.79</v>
      </c>
      <c r="I13" s="12">
        <v>0</v>
      </c>
    </row>
    <row r="14" spans="2:9" ht="15" customHeight="1" x14ac:dyDescent="0.2">
      <c r="B14" t="s">
        <v>84</v>
      </c>
      <c r="C14" s="12">
        <v>22</v>
      </c>
      <c r="D14" s="8">
        <v>8.8000000000000007</v>
      </c>
      <c r="E14" s="12">
        <v>9</v>
      </c>
      <c r="F14" s="8">
        <v>7.5</v>
      </c>
      <c r="G14" s="12">
        <v>13</v>
      </c>
      <c r="H14" s="8">
        <v>10.74</v>
      </c>
      <c r="I14" s="12">
        <v>0</v>
      </c>
    </row>
    <row r="15" spans="2:9" ht="15" customHeight="1" x14ac:dyDescent="0.2">
      <c r="B15" t="s">
        <v>85</v>
      </c>
      <c r="C15" s="12">
        <v>16</v>
      </c>
      <c r="D15" s="8">
        <v>6.4</v>
      </c>
      <c r="E15" s="12">
        <v>14</v>
      </c>
      <c r="F15" s="8">
        <v>11.67</v>
      </c>
      <c r="G15" s="12">
        <v>2</v>
      </c>
      <c r="H15" s="8">
        <v>1.65</v>
      </c>
      <c r="I15" s="12">
        <v>0</v>
      </c>
    </row>
    <row r="16" spans="2:9" ht="15" customHeight="1" x14ac:dyDescent="0.2">
      <c r="B16" t="s">
        <v>86</v>
      </c>
      <c r="C16" s="12">
        <v>28</v>
      </c>
      <c r="D16" s="8">
        <v>11.2</v>
      </c>
      <c r="E16" s="12">
        <v>23</v>
      </c>
      <c r="F16" s="8">
        <v>19.170000000000002</v>
      </c>
      <c r="G16" s="12">
        <v>4</v>
      </c>
      <c r="H16" s="8">
        <v>3.31</v>
      </c>
      <c r="I16" s="12">
        <v>0</v>
      </c>
    </row>
    <row r="17" spans="2:9" ht="15" customHeight="1" x14ac:dyDescent="0.2">
      <c r="B17" t="s">
        <v>87</v>
      </c>
      <c r="C17" s="12">
        <v>12</v>
      </c>
      <c r="D17" s="8">
        <v>4.8</v>
      </c>
      <c r="E17" s="12">
        <v>4</v>
      </c>
      <c r="F17" s="8">
        <v>3.33</v>
      </c>
      <c r="G17" s="12">
        <v>6</v>
      </c>
      <c r="H17" s="8">
        <v>4.96</v>
      </c>
      <c r="I17" s="12">
        <v>1</v>
      </c>
    </row>
    <row r="18" spans="2:9" ht="15" customHeight="1" x14ac:dyDescent="0.2">
      <c r="B18" t="s">
        <v>88</v>
      </c>
      <c r="C18" s="12">
        <v>15</v>
      </c>
      <c r="D18" s="8">
        <v>6</v>
      </c>
      <c r="E18" s="12">
        <v>9</v>
      </c>
      <c r="F18" s="8">
        <v>7.5</v>
      </c>
      <c r="G18" s="12">
        <v>2</v>
      </c>
      <c r="H18" s="8">
        <v>1.65</v>
      </c>
      <c r="I18" s="12">
        <v>0</v>
      </c>
    </row>
    <row r="19" spans="2:9" ht="15" customHeight="1" x14ac:dyDescent="0.2">
      <c r="B19" t="s">
        <v>89</v>
      </c>
      <c r="C19" s="12">
        <v>14</v>
      </c>
      <c r="D19" s="8">
        <v>5.6</v>
      </c>
      <c r="E19" s="12">
        <v>2</v>
      </c>
      <c r="F19" s="8">
        <v>1.67</v>
      </c>
      <c r="G19" s="12">
        <v>10</v>
      </c>
      <c r="H19" s="8">
        <v>8.26</v>
      </c>
      <c r="I19" s="12">
        <v>0</v>
      </c>
    </row>
    <row r="20" spans="2:9" ht="15" customHeight="1" x14ac:dyDescent="0.2">
      <c r="B20" s="9" t="s">
        <v>271</v>
      </c>
      <c r="C20" s="12">
        <f>SUM(LTBL_27321[総数／事業所数])</f>
        <v>250</v>
      </c>
      <c r="E20" s="12">
        <f>SUBTOTAL(109,LTBL_27321[個人／事業所数])</f>
        <v>120</v>
      </c>
      <c r="G20" s="12">
        <f>SUBTOTAL(109,LTBL_27321[法人／事業所数])</f>
        <v>121</v>
      </c>
      <c r="I20" s="12">
        <f>SUBTOTAL(109,LTBL_27321[法人以外の団体／事業所数])</f>
        <v>1</v>
      </c>
    </row>
    <row r="21" spans="2:9" ht="15" customHeight="1" x14ac:dyDescent="0.2">
      <c r="E21" s="11">
        <f>LTBL_27321[[#Totals],[個人／事業所数]]/LTBL_27321[[#Totals],[総数／事業所数]]</f>
        <v>0.48</v>
      </c>
      <c r="G21" s="11">
        <f>LTBL_27321[[#Totals],[法人／事業所数]]/LTBL_27321[[#Totals],[総数／事業所数]]</f>
        <v>0.48399999999999999</v>
      </c>
      <c r="I21" s="11">
        <f>LTBL_27321[[#Totals],[法人以外の団体／事業所数]]/LTBL_27321[[#Totals],[総数／事業所数]]</f>
        <v>4.0000000000000001E-3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98</v>
      </c>
      <c r="C24" s="12">
        <v>26</v>
      </c>
      <c r="D24" s="8">
        <v>10.4</v>
      </c>
      <c r="E24" s="12">
        <v>8</v>
      </c>
      <c r="F24" s="8">
        <v>6.67</v>
      </c>
      <c r="G24" s="12">
        <v>18</v>
      </c>
      <c r="H24" s="8">
        <v>14.88</v>
      </c>
      <c r="I24" s="12">
        <v>0</v>
      </c>
    </row>
    <row r="25" spans="2:9" ht="15" customHeight="1" x14ac:dyDescent="0.2">
      <c r="B25" t="s">
        <v>114</v>
      </c>
      <c r="C25" s="12">
        <v>21</v>
      </c>
      <c r="D25" s="8">
        <v>8.4</v>
      </c>
      <c r="E25" s="12">
        <v>19</v>
      </c>
      <c r="F25" s="8">
        <v>15.83</v>
      </c>
      <c r="G25" s="12">
        <v>2</v>
      </c>
      <c r="H25" s="8">
        <v>1.65</v>
      </c>
      <c r="I25" s="12">
        <v>0</v>
      </c>
    </row>
    <row r="26" spans="2:9" ht="15" customHeight="1" x14ac:dyDescent="0.2">
      <c r="B26" t="s">
        <v>113</v>
      </c>
      <c r="C26" s="12">
        <v>15</v>
      </c>
      <c r="D26" s="8">
        <v>6</v>
      </c>
      <c r="E26" s="12">
        <v>13</v>
      </c>
      <c r="F26" s="8">
        <v>10.83</v>
      </c>
      <c r="G26" s="12">
        <v>2</v>
      </c>
      <c r="H26" s="8">
        <v>1.65</v>
      </c>
      <c r="I26" s="12">
        <v>0</v>
      </c>
    </row>
    <row r="27" spans="2:9" ht="15" customHeight="1" x14ac:dyDescent="0.2">
      <c r="B27" t="s">
        <v>100</v>
      </c>
      <c r="C27" s="12">
        <v>13</v>
      </c>
      <c r="D27" s="8">
        <v>5.2</v>
      </c>
      <c r="E27" s="12">
        <v>6</v>
      </c>
      <c r="F27" s="8">
        <v>5</v>
      </c>
      <c r="G27" s="12">
        <v>7</v>
      </c>
      <c r="H27" s="8">
        <v>5.79</v>
      </c>
      <c r="I27" s="12">
        <v>0</v>
      </c>
    </row>
    <row r="28" spans="2:9" ht="15" customHeight="1" x14ac:dyDescent="0.2">
      <c r="B28" t="s">
        <v>112</v>
      </c>
      <c r="C28" s="12">
        <v>12</v>
      </c>
      <c r="D28" s="8">
        <v>4.8</v>
      </c>
      <c r="E28" s="12">
        <v>7</v>
      </c>
      <c r="F28" s="8">
        <v>5.83</v>
      </c>
      <c r="G28" s="12">
        <v>5</v>
      </c>
      <c r="H28" s="8">
        <v>4.13</v>
      </c>
      <c r="I28" s="12">
        <v>0</v>
      </c>
    </row>
    <row r="29" spans="2:9" ht="15" customHeight="1" x14ac:dyDescent="0.2">
      <c r="B29" t="s">
        <v>115</v>
      </c>
      <c r="C29" s="12">
        <v>12</v>
      </c>
      <c r="D29" s="8">
        <v>4.8</v>
      </c>
      <c r="E29" s="12">
        <v>4</v>
      </c>
      <c r="F29" s="8">
        <v>3.33</v>
      </c>
      <c r="G29" s="12">
        <v>6</v>
      </c>
      <c r="H29" s="8">
        <v>4.96</v>
      </c>
      <c r="I29" s="12">
        <v>1</v>
      </c>
    </row>
    <row r="30" spans="2:9" ht="15" customHeight="1" x14ac:dyDescent="0.2">
      <c r="B30" t="s">
        <v>99</v>
      </c>
      <c r="C30" s="12">
        <v>11</v>
      </c>
      <c r="D30" s="8">
        <v>4.4000000000000004</v>
      </c>
      <c r="E30" s="12">
        <v>6</v>
      </c>
      <c r="F30" s="8">
        <v>5</v>
      </c>
      <c r="G30" s="12">
        <v>5</v>
      </c>
      <c r="H30" s="8">
        <v>4.13</v>
      </c>
      <c r="I30" s="12">
        <v>0</v>
      </c>
    </row>
    <row r="31" spans="2:9" ht="15" customHeight="1" x14ac:dyDescent="0.2">
      <c r="B31" t="s">
        <v>116</v>
      </c>
      <c r="C31" s="12">
        <v>11</v>
      </c>
      <c r="D31" s="8">
        <v>4.4000000000000004</v>
      </c>
      <c r="E31" s="12">
        <v>9</v>
      </c>
      <c r="F31" s="8">
        <v>7.5</v>
      </c>
      <c r="G31" s="12">
        <v>2</v>
      </c>
      <c r="H31" s="8">
        <v>1.65</v>
      </c>
      <c r="I31" s="12">
        <v>0</v>
      </c>
    </row>
    <row r="32" spans="2:9" ht="15" customHeight="1" x14ac:dyDescent="0.2">
      <c r="B32" t="s">
        <v>106</v>
      </c>
      <c r="C32" s="12">
        <v>10</v>
      </c>
      <c r="D32" s="8">
        <v>4</v>
      </c>
      <c r="E32" s="12">
        <v>8</v>
      </c>
      <c r="F32" s="8">
        <v>6.67</v>
      </c>
      <c r="G32" s="12">
        <v>2</v>
      </c>
      <c r="H32" s="8">
        <v>1.65</v>
      </c>
      <c r="I32" s="12">
        <v>0</v>
      </c>
    </row>
    <row r="33" spans="2:9" ht="15" customHeight="1" x14ac:dyDescent="0.2">
      <c r="B33" t="s">
        <v>111</v>
      </c>
      <c r="C33" s="12">
        <v>10</v>
      </c>
      <c r="D33" s="8">
        <v>4</v>
      </c>
      <c r="E33" s="12">
        <v>2</v>
      </c>
      <c r="F33" s="8">
        <v>1.67</v>
      </c>
      <c r="G33" s="12">
        <v>8</v>
      </c>
      <c r="H33" s="8">
        <v>6.61</v>
      </c>
      <c r="I33" s="12">
        <v>0</v>
      </c>
    </row>
    <row r="34" spans="2:9" ht="15" customHeight="1" x14ac:dyDescent="0.2">
      <c r="B34" t="s">
        <v>103</v>
      </c>
      <c r="C34" s="12">
        <v>8</v>
      </c>
      <c r="D34" s="8">
        <v>3.2</v>
      </c>
      <c r="E34" s="12">
        <v>1</v>
      </c>
      <c r="F34" s="8">
        <v>0.83</v>
      </c>
      <c r="G34" s="12">
        <v>7</v>
      </c>
      <c r="H34" s="8">
        <v>5.79</v>
      </c>
      <c r="I34" s="12">
        <v>0</v>
      </c>
    </row>
    <row r="35" spans="2:9" ht="15" customHeight="1" x14ac:dyDescent="0.2">
      <c r="B35" t="s">
        <v>107</v>
      </c>
      <c r="C35" s="12">
        <v>8</v>
      </c>
      <c r="D35" s="8">
        <v>3.2</v>
      </c>
      <c r="E35" s="12">
        <v>7</v>
      </c>
      <c r="F35" s="8">
        <v>5.83</v>
      </c>
      <c r="G35" s="12">
        <v>1</v>
      </c>
      <c r="H35" s="8">
        <v>0.83</v>
      </c>
      <c r="I35" s="12">
        <v>0</v>
      </c>
    </row>
    <row r="36" spans="2:9" ht="15" customHeight="1" x14ac:dyDescent="0.2">
      <c r="B36" t="s">
        <v>108</v>
      </c>
      <c r="C36" s="12">
        <v>8</v>
      </c>
      <c r="D36" s="8">
        <v>3.2</v>
      </c>
      <c r="E36" s="12">
        <v>6</v>
      </c>
      <c r="F36" s="8">
        <v>5</v>
      </c>
      <c r="G36" s="12">
        <v>2</v>
      </c>
      <c r="H36" s="8">
        <v>1.65</v>
      </c>
      <c r="I36" s="12">
        <v>0</v>
      </c>
    </row>
    <row r="37" spans="2:9" ht="15" customHeight="1" x14ac:dyDescent="0.2">
      <c r="B37" t="s">
        <v>109</v>
      </c>
      <c r="C37" s="12">
        <v>6</v>
      </c>
      <c r="D37" s="8">
        <v>2.4</v>
      </c>
      <c r="E37" s="12">
        <v>2</v>
      </c>
      <c r="F37" s="8">
        <v>1.67</v>
      </c>
      <c r="G37" s="12">
        <v>4</v>
      </c>
      <c r="H37" s="8">
        <v>3.31</v>
      </c>
      <c r="I37" s="12">
        <v>0</v>
      </c>
    </row>
    <row r="38" spans="2:9" ht="15" customHeight="1" x14ac:dyDescent="0.2">
      <c r="B38" t="s">
        <v>130</v>
      </c>
      <c r="C38" s="12">
        <v>6</v>
      </c>
      <c r="D38" s="8">
        <v>2.4</v>
      </c>
      <c r="E38" s="12">
        <v>4</v>
      </c>
      <c r="F38" s="8">
        <v>3.33</v>
      </c>
      <c r="G38" s="12">
        <v>2</v>
      </c>
      <c r="H38" s="8">
        <v>1.65</v>
      </c>
      <c r="I38" s="12">
        <v>0</v>
      </c>
    </row>
    <row r="39" spans="2:9" ht="15" customHeight="1" x14ac:dyDescent="0.2">
      <c r="B39" t="s">
        <v>104</v>
      </c>
      <c r="C39" s="12">
        <v>5</v>
      </c>
      <c r="D39" s="8">
        <v>2</v>
      </c>
      <c r="E39" s="12">
        <v>2</v>
      </c>
      <c r="F39" s="8">
        <v>1.67</v>
      </c>
      <c r="G39" s="12">
        <v>3</v>
      </c>
      <c r="H39" s="8">
        <v>2.48</v>
      </c>
      <c r="I39" s="12">
        <v>0</v>
      </c>
    </row>
    <row r="40" spans="2:9" ht="15" customHeight="1" x14ac:dyDescent="0.2">
      <c r="B40" t="s">
        <v>105</v>
      </c>
      <c r="C40" s="12">
        <v>5</v>
      </c>
      <c r="D40" s="8">
        <v>2</v>
      </c>
      <c r="E40" s="12">
        <v>3</v>
      </c>
      <c r="F40" s="8">
        <v>2.5</v>
      </c>
      <c r="G40" s="12">
        <v>2</v>
      </c>
      <c r="H40" s="8">
        <v>1.65</v>
      </c>
      <c r="I40" s="12">
        <v>0</v>
      </c>
    </row>
    <row r="41" spans="2:9" ht="15" customHeight="1" x14ac:dyDescent="0.2">
      <c r="B41" t="s">
        <v>119</v>
      </c>
      <c r="C41" s="12">
        <v>5</v>
      </c>
      <c r="D41" s="8">
        <v>2</v>
      </c>
      <c r="E41" s="12">
        <v>1</v>
      </c>
      <c r="F41" s="8">
        <v>0.83</v>
      </c>
      <c r="G41" s="12">
        <v>4</v>
      </c>
      <c r="H41" s="8">
        <v>3.31</v>
      </c>
      <c r="I41" s="12">
        <v>0</v>
      </c>
    </row>
    <row r="42" spans="2:9" ht="15" customHeight="1" x14ac:dyDescent="0.2">
      <c r="B42" t="s">
        <v>141</v>
      </c>
      <c r="C42" s="12">
        <v>4</v>
      </c>
      <c r="D42" s="8">
        <v>1.6</v>
      </c>
      <c r="E42" s="12">
        <v>2</v>
      </c>
      <c r="F42" s="8">
        <v>1.67</v>
      </c>
      <c r="G42" s="12">
        <v>2</v>
      </c>
      <c r="H42" s="8">
        <v>1.65</v>
      </c>
      <c r="I42" s="12">
        <v>0</v>
      </c>
    </row>
    <row r="43" spans="2:9" ht="15" customHeight="1" x14ac:dyDescent="0.2">
      <c r="B43" t="s">
        <v>138</v>
      </c>
      <c r="C43" s="12">
        <v>4</v>
      </c>
      <c r="D43" s="8">
        <v>1.6</v>
      </c>
      <c r="E43" s="12">
        <v>1</v>
      </c>
      <c r="F43" s="8">
        <v>0.83</v>
      </c>
      <c r="G43" s="12">
        <v>3</v>
      </c>
      <c r="H43" s="8">
        <v>2.48</v>
      </c>
      <c r="I43" s="12">
        <v>0</v>
      </c>
    </row>
    <row r="44" spans="2:9" ht="15" customHeight="1" x14ac:dyDescent="0.2">
      <c r="B44" t="s">
        <v>135</v>
      </c>
      <c r="C44" s="12">
        <v>4</v>
      </c>
      <c r="D44" s="8">
        <v>1.6</v>
      </c>
      <c r="E44" s="12">
        <v>0</v>
      </c>
      <c r="F44" s="8">
        <v>0</v>
      </c>
      <c r="G44" s="12">
        <v>4</v>
      </c>
      <c r="H44" s="8">
        <v>3.31</v>
      </c>
      <c r="I44" s="12">
        <v>0</v>
      </c>
    </row>
    <row r="45" spans="2:9" ht="15" customHeight="1" x14ac:dyDescent="0.2">
      <c r="B45" t="s">
        <v>110</v>
      </c>
      <c r="C45" s="12">
        <v>4</v>
      </c>
      <c r="D45" s="8">
        <v>1.6</v>
      </c>
      <c r="E45" s="12">
        <v>2</v>
      </c>
      <c r="F45" s="8">
        <v>1.67</v>
      </c>
      <c r="G45" s="12">
        <v>2</v>
      </c>
      <c r="H45" s="8">
        <v>1.65</v>
      </c>
      <c r="I45" s="12">
        <v>0</v>
      </c>
    </row>
    <row r="46" spans="2:9" ht="15" customHeight="1" x14ac:dyDescent="0.2">
      <c r="B46" t="s">
        <v>117</v>
      </c>
      <c r="C46" s="12">
        <v>4</v>
      </c>
      <c r="D46" s="8">
        <v>1.6</v>
      </c>
      <c r="E46" s="12">
        <v>0</v>
      </c>
      <c r="F46" s="8">
        <v>0</v>
      </c>
      <c r="G46" s="12">
        <v>0</v>
      </c>
      <c r="H46" s="8">
        <v>0</v>
      </c>
      <c r="I46" s="12">
        <v>0</v>
      </c>
    </row>
    <row r="49" spans="2:9" ht="33" customHeight="1" x14ac:dyDescent="0.2">
      <c r="B49" t="s">
        <v>273</v>
      </c>
      <c r="C49" s="10" t="s">
        <v>91</v>
      </c>
      <c r="D49" s="10" t="s">
        <v>92</v>
      </c>
      <c r="E49" s="10" t="s">
        <v>93</v>
      </c>
      <c r="F49" s="10" t="s">
        <v>94</v>
      </c>
      <c r="G49" s="10" t="s">
        <v>95</v>
      </c>
      <c r="H49" s="10" t="s">
        <v>96</v>
      </c>
      <c r="I49" s="10" t="s">
        <v>97</v>
      </c>
    </row>
    <row r="50" spans="2:9" ht="15" customHeight="1" x14ac:dyDescent="0.2">
      <c r="B50" t="s">
        <v>190</v>
      </c>
      <c r="C50" s="12">
        <v>13</v>
      </c>
      <c r="D50" s="8">
        <v>5.2</v>
      </c>
      <c r="E50" s="12">
        <v>5</v>
      </c>
      <c r="F50" s="8">
        <v>4.17</v>
      </c>
      <c r="G50" s="12">
        <v>8</v>
      </c>
      <c r="H50" s="8">
        <v>6.61</v>
      </c>
      <c r="I50" s="12">
        <v>0</v>
      </c>
    </row>
    <row r="51" spans="2:9" ht="15" customHeight="1" x14ac:dyDescent="0.2">
      <c r="B51" t="s">
        <v>169</v>
      </c>
      <c r="C51" s="12">
        <v>12</v>
      </c>
      <c r="D51" s="8">
        <v>4.8</v>
      </c>
      <c r="E51" s="12">
        <v>11</v>
      </c>
      <c r="F51" s="8">
        <v>9.17</v>
      </c>
      <c r="G51" s="12">
        <v>1</v>
      </c>
      <c r="H51" s="8">
        <v>0.83</v>
      </c>
      <c r="I51" s="12">
        <v>0</v>
      </c>
    </row>
    <row r="52" spans="2:9" ht="15" customHeight="1" x14ac:dyDescent="0.2">
      <c r="B52" t="s">
        <v>167</v>
      </c>
      <c r="C52" s="12">
        <v>9</v>
      </c>
      <c r="D52" s="8">
        <v>3.6</v>
      </c>
      <c r="E52" s="12">
        <v>9</v>
      </c>
      <c r="F52" s="8">
        <v>7.5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174</v>
      </c>
      <c r="C53" s="12">
        <v>8</v>
      </c>
      <c r="D53" s="8">
        <v>3.2</v>
      </c>
      <c r="E53" s="12">
        <v>4</v>
      </c>
      <c r="F53" s="8">
        <v>3.33</v>
      </c>
      <c r="G53" s="12">
        <v>4</v>
      </c>
      <c r="H53" s="8">
        <v>3.31</v>
      </c>
      <c r="I53" s="12">
        <v>0</v>
      </c>
    </row>
    <row r="54" spans="2:9" ht="15" customHeight="1" x14ac:dyDescent="0.2">
      <c r="B54" t="s">
        <v>171</v>
      </c>
      <c r="C54" s="12">
        <v>8</v>
      </c>
      <c r="D54" s="8">
        <v>3.2</v>
      </c>
      <c r="E54" s="12">
        <v>8</v>
      </c>
      <c r="F54" s="8">
        <v>6.67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210</v>
      </c>
      <c r="C55" s="12">
        <v>7</v>
      </c>
      <c r="D55" s="8">
        <v>2.8</v>
      </c>
      <c r="E55" s="12">
        <v>1</v>
      </c>
      <c r="F55" s="8">
        <v>0.83</v>
      </c>
      <c r="G55" s="12">
        <v>6</v>
      </c>
      <c r="H55" s="8">
        <v>4.96</v>
      </c>
      <c r="I55" s="12">
        <v>0</v>
      </c>
    </row>
    <row r="56" spans="2:9" ht="15" customHeight="1" x14ac:dyDescent="0.2">
      <c r="B56" t="s">
        <v>179</v>
      </c>
      <c r="C56" s="12">
        <v>7</v>
      </c>
      <c r="D56" s="8">
        <v>2.8</v>
      </c>
      <c r="E56" s="12">
        <v>1</v>
      </c>
      <c r="F56" s="8">
        <v>0.83</v>
      </c>
      <c r="G56" s="12">
        <v>6</v>
      </c>
      <c r="H56" s="8">
        <v>4.96</v>
      </c>
      <c r="I56" s="12">
        <v>0</v>
      </c>
    </row>
    <row r="57" spans="2:9" ht="15" customHeight="1" x14ac:dyDescent="0.2">
      <c r="B57" t="s">
        <v>158</v>
      </c>
      <c r="C57" s="12">
        <v>6</v>
      </c>
      <c r="D57" s="8">
        <v>2.4</v>
      </c>
      <c r="E57" s="12">
        <v>2</v>
      </c>
      <c r="F57" s="8">
        <v>1.67</v>
      </c>
      <c r="G57" s="12">
        <v>4</v>
      </c>
      <c r="H57" s="8">
        <v>3.31</v>
      </c>
      <c r="I57" s="12">
        <v>0</v>
      </c>
    </row>
    <row r="58" spans="2:9" ht="15" customHeight="1" x14ac:dyDescent="0.2">
      <c r="B58" t="s">
        <v>153</v>
      </c>
      <c r="C58" s="12">
        <v>5</v>
      </c>
      <c r="D58" s="8">
        <v>2</v>
      </c>
      <c r="E58" s="12">
        <v>2</v>
      </c>
      <c r="F58" s="8">
        <v>1.67</v>
      </c>
      <c r="G58" s="12">
        <v>3</v>
      </c>
      <c r="H58" s="8">
        <v>2.48</v>
      </c>
      <c r="I58" s="12">
        <v>0</v>
      </c>
    </row>
    <row r="59" spans="2:9" ht="15" customHeight="1" x14ac:dyDescent="0.2">
      <c r="B59" t="s">
        <v>195</v>
      </c>
      <c r="C59" s="12">
        <v>5</v>
      </c>
      <c r="D59" s="8">
        <v>2</v>
      </c>
      <c r="E59" s="12">
        <v>4</v>
      </c>
      <c r="F59" s="8">
        <v>3.33</v>
      </c>
      <c r="G59" s="12">
        <v>1</v>
      </c>
      <c r="H59" s="8">
        <v>0.83</v>
      </c>
      <c r="I59" s="12">
        <v>0</v>
      </c>
    </row>
    <row r="60" spans="2:9" ht="15" customHeight="1" x14ac:dyDescent="0.2">
      <c r="B60" t="s">
        <v>189</v>
      </c>
      <c r="C60" s="12">
        <v>5</v>
      </c>
      <c r="D60" s="8">
        <v>2</v>
      </c>
      <c r="E60" s="12">
        <v>0</v>
      </c>
      <c r="F60" s="8">
        <v>0</v>
      </c>
      <c r="G60" s="12">
        <v>5</v>
      </c>
      <c r="H60" s="8">
        <v>4.13</v>
      </c>
      <c r="I60" s="12">
        <v>0</v>
      </c>
    </row>
    <row r="61" spans="2:9" ht="15" customHeight="1" x14ac:dyDescent="0.2">
      <c r="B61" t="s">
        <v>196</v>
      </c>
      <c r="C61" s="12">
        <v>5</v>
      </c>
      <c r="D61" s="8">
        <v>2</v>
      </c>
      <c r="E61" s="12">
        <v>4</v>
      </c>
      <c r="F61" s="8">
        <v>3.33</v>
      </c>
      <c r="G61" s="12">
        <v>1</v>
      </c>
      <c r="H61" s="8">
        <v>0.83</v>
      </c>
      <c r="I61" s="12">
        <v>0</v>
      </c>
    </row>
    <row r="62" spans="2:9" ht="15" customHeight="1" x14ac:dyDescent="0.2">
      <c r="B62" t="s">
        <v>170</v>
      </c>
      <c r="C62" s="12">
        <v>5</v>
      </c>
      <c r="D62" s="8">
        <v>2</v>
      </c>
      <c r="E62" s="12">
        <v>2</v>
      </c>
      <c r="F62" s="8">
        <v>1.67</v>
      </c>
      <c r="G62" s="12">
        <v>2</v>
      </c>
      <c r="H62" s="8">
        <v>1.65</v>
      </c>
      <c r="I62" s="12">
        <v>1</v>
      </c>
    </row>
    <row r="63" spans="2:9" ht="15" customHeight="1" x14ac:dyDescent="0.2">
      <c r="B63" t="s">
        <v>154</v>
      </c>
      <c r="C63" s="12">
        <v>4</v>
      </c>
      <c r="D63" s="8">
        <v>1.6</v>
      </c>
      <c r="E63" s="12">
        <v>1</v>
      </c>
      <c r="F63" s="8">
        <v>0.83</v>
      </c>
      <c r="G63" s="12">
        <v>3</v>
      </c>
      <c r="H63" s="8">
        <v>2.48</v>
      </c>
      <c r="I63" s="12">
        <v>0</v>
      </c>
    </row>
    <row r="64" spans="2:9" ht="15" customHeight="1" x14ac:dyDescent="0.2">
      <c r="B64" t="s">
        <v>181</v>
      </c>
      <c r="C64" s="12">
        <v>4</v>
      </c>
      <c r="D64" s="8">
        <v>1.6</v>
      </c>
      <c r="E64" s="12">
        <v>4</v>
      </c>
      <c r="F64" s="8">
        <v>3.33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157</v>
      </c>
      <c r="C65" s="12">
        <v>4</v>
      </c>
      <c r="D65" s="8">
        <v>1.6</v>
      </c>
      <c r="E65" s="12">
        <v>3</v>
      </c>
      <c r="F65" s="8">
        <v>2.5</v>
      </c>
      <c r="G65" s="12">
        <v>1</v>
      </c>
      <c r="H65" s="8">
        <v>0.83</v>
      </c>
      <c r="I65" s="12">
        <v>0</v>
      </c>
    </row>
    <row r="66" spans="2:9" ht="15" customHeight="1" x14ac:dyDescent="0.2">
      <c r="B66" t="s">
        <v>233</v>
      </c>
      <c r="C66" s="12">
        <v>4</v>
      </c>
      <c r="D66" s="8">
        <v>1.6</v>
      </c>
      <c r="E66" s="12">
        <v>0</v>
      </c>
      <c r="F66" s="8">
        <v>0</v>
      </c>
      <c r="G66" s="12">
        <v>4</v>
      </c>
      <c r="H66" s="8">
        <v>3.31</v>
      </c>
      <c r="I66" s="12">
        <v>0</v>
      </c>
    </row>
    <row r="67" spans="2:9" ht="15" customHeight="1" x14ac:dyDescent="0.2">
      <c r="B67" t="s">
        <v>172</v>
      </c>
      <c r="C67" s="12">
        <v>4</v>
      </c>
      <c r="D67" s="8">
        <v>1.6</v>
      </c>
      <c r="E67" s="12">
        <v>2</v>
      </c>
      <c r="F67" s="8">
        <v>1.67</v>
      </c>
      <c r="G67" s="12">
        <v>2</v>
      </c>
      <c r="H67" s="8">
        <v>1.65</v>
      </c>
      <c r="I67" s="12">
        <v>0</v>
      </c>
    </row>
    <row r="68" spans="2:9" ht="15" customHeight="1" x14ac:dyDescent="0.2">
      <c r="B68" t="s">
        <v>238</v>
      </c>
      <c r="C68" s="12">
        <v>4</v>
      </c>
      <c r="D68" s="8">
        <v>1.6</v>
      </c>
      <c r="E68" s="12">
        <v>1</v>
      </c>
      <c r="F68" s="8">
        <v>0.83</v>
      </c>
      <c r="G68" s="12">
        <v>3</v>
      </c>
      <c r="H68" s="8">
        <v>2.48</v>
      </c>
      <c r="I68" s="12">
        <v>0</v>
      </c>
    </row>
    <row r="69" spans="2:9" ht="15" customHeight="1" x14ac:dyDescent="0.2">
      <c r="B69" t="s">
        <v>182</v>
      </c>
      <c r="C69" s="12">
        <v>4</v>
      </c>
      <c r="D69" s="8">
        <v>1.6</v>
      </c>
      <c r="E69" s="12">
        <v>3</v>
      </c>
      <c r="F69" s="8">
        <v>2.5</v>
      </c>
      <c r="G69" s="12">
        <v>1</v>
      </c>
      <c r="H69" s="8">
        <v>0.83</v>
      </c>
      <c r="I69" s="12">
        <v>0</v>
      </c>
    </row>
    <row r="71" spans="2:9" ht="15" customHeight="1" x14ac:dyDescent="0.2">
      <c r="B71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4DC4B-F374-4419-AFF6-0AAE5BDDBB22}">
  <sheetPr>
    <pageSetUpPr fitToPage="1"/>
  </sheetPr>
  <dimension ref="B2:I8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341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39</v>
      </c>
      <c r="D6" s="8">
        <v>21.08</v>
      </c>
      <c r="E6" s="12">
        <v>20</v>
      </c>
      <c r="F6" s="8">
        <v>19.23</v>
      </c>
      <c r="G6" s="12">
        <v>19</v>
      </c>
      <c r="H6" s="8">
        <v>25</v>
      </c>
      <c r="I6" s="12">
        <v>0</v>
      </c>
    </row>
    <row r="7" spans="2:9" ht="15" customHeight="1" x14ac:dyDescent="0.2">
      <c r="B7" t="s">
        <v>77</v>
      </c>
      <c r="C7" s="12">
        <v>33</v>
      </c>
      <c r="D7" s="8">
        <v>17.84</v>
      </c>
      <c r="E7" s="12">
        <v>18</v>
      </c>
      <c r="F7" s="8">
        <v>17.309999999999999</v>
      </c>
      <c r="G7" s="12">
        <v>15</v>
      </c>
      <c r="H7" s="8">
        <v>19.739999999999998</v>
      </c>
      <c r="I7" s="12">
        <v>0</v>
      </c>
    </row>
    <row r="8" spans="2:9" ht="15" customHeight="1" x14ac:dyDescent="0.2">
      <c r="B8" t="s">
        <v>78</v>
      </c>
      <c r="C8" s="12">
        <v>1</v>
      </c>
      <c r="D8" s="8">
        <v>0.54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79</v>
      </c>
      <c r="C9" s="12">
        <v>2</v>
      </c>
      <c r="D9" s="8">
        <v>1.08</v>
      </c>
      <c r="E9" s="12">
        <v>0</v>
      </c>
      <c r="F9" s="8">
        <v>0</v>
      </c>
      <c r="G9" s="12">
        <v>2</v>
      </c>
      <c r="H9" s="8">
        <v>2.63</v>
      </c>
      <c r="I9" s="12">
        <v>0</v>
      </c>
    </row>
    <row r="10" spans="2:9" ht="15" customHeight="1" x14ac:dyDescent="0.2">
      <c r="B10" t="s">
        <v>80</v>
      </c>
      <c r="C10" s="12">
        <v>3</v>
      </c>
      <c r="D10" s="8">
        <v>1.62</v>
      </c>
      <c r="E10" s="12">
        <v>0</v>
      </c>
      <c r="F10" s="8">
        <v>0</v>
      </c>
      <c r="G10" s="12">
        <v>3</v>
      </c>
      <c r="H10" s="8">
        <v>3.95</v>
      </c>
      <c r="I10" s="12">
        <v>0</v>
      </c>
    </row>
    <row r="11" spans="2:9" ht="15" customHeight="1" x14ac:dyDescent="0.2">
      <c r="B11" t="s">
        <v>81</v>
      </c>
      <c r="C11" s="12">
        <v>50</v>
      </c>
      <c r="D11" s="8">
        <v>27.03</v>
      </c>
      <c r="E11" s="12">
        <v>30</v>
      </c>
      <c r="F11" s="8">
        <v>28.85</v>
      </c>
      <c r="G11" s="12">
        <v>20</v>
      </c>
      <c r="H11" s="8">
        <v>26.32</v>
      </c>
      <c r="I11" s="12">
        <v>0</v>
      </c>
    </row>
    <row r="12" spans="2:9" ht="15" customHeight="1" x14ac:dyDescent="0.2">
      <c r="B12" t="s">
        <v>82</v>
      </c>
      <c r="C12" s="12">
        <v>1</v>
      </c>
      <c r="D12" s="8">
        <v>0.54</v>
      </c>
      <c r="E12" s="12">
        <v>0</v>
      </c>
      <c r="F12" s="8">
        <v>0</v>
      </c>
      <c r="G12" s="12">
        <v>1</v>
      </c>
      <c r="H12" s="8">
        <v>1.32</v>
      </c>
      <c r="I12" s="12">
        <v>0</v>
      </c>
    </row>
    <row r="13" spans="2:9" ht="15" customHeight="1" x14ac:dyDescent="0.2">
      <c r="B13" t="s">
        <v>83</v>
      </c>
      <c r="C13" s="12">
        <v>5</v>
      </c>
      <c r="D13" s="8">
        <v>2.7</v>
      </c>
      <c r="E13" s="12">
        <v>1</v>
      </c>
      <c r="F13" s="8">
        <v>0.96</v>
      </c>
      <c r="G13" s="12">
        <v>4</v>
      </c>
      <c r="H13" s="8">
        <v>5.26</v>
      </c>
      <c r="I13" s="12">
        <v>0</v>
      </c>
    </row>
    <row r="14" spans="2:9" ht="15" customHeight="1" x14ac:dyDescent="0.2">
      <c r="B14" t="s">
        <v>84</v>
      </c>
      <c r="C14" s="12">
        <v>2</v>
      </c>
      <c r="D14" s="8">
        <v>1.08</v>
      </c>
      <c r="E14" s="12">
        <v>0</v>
      </c>
      <c r="F14" s="8">
        <v>0</v>
      </c>
      <c r="G14" s="12">
        <v>2</v>
      </c>
      <c r="H14" s="8">
        <v>2.63</v>
      </c>
      <c r="I14" s="12">
        <v>0</v>
      </c>
    </row>
    <row r="15" spans="2:9" ht="15" customHeight="1" x14ac:dyDescent="0.2">
      <c r="B15" t="s">
        <v>85</v>
      </c>
      <c r="C15" s="12">
        <v>16</v>
      </c>
      <c r="D15" s="8">
        <v>8.65</v>
      </c>
      <c r="E15" s="12">
        <v>12</v>
      </c>
      <c r="F15" s="8">
        <v>11.54</v>
      </c>
      <c r="G15" s="12">
        <v>4</v>
      </c>
      <c r="H15" s="8">
        <v>5.26</v>
      </c>
      <c r="I15" s="12">
        <v>0</v>
      </c>
    </row>
    <row r="16" spans="2:9" ht="15" customHeight="1" x14ac:dyDescent="0.2">
      <c r="B16" t="s">
        <v>86</v>
      </c>
      <c r="C16" s="12">
        <v>13</v>
      </c>
      <c r="D16" s="8">
        <v>7.03</v>
      </c>
      <c r="E16" s="12">
        <v>12</v>
      </c>
      <c r="F16" s="8">
        <v>11.54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87</v>
      </c>
      <c r="C17" s="12">
        <v>1</v>
      </c>
      <c r="D17" s="8">
        <v>0.54</v>
      </c>
      <c r="E17" s="12">
        <v>1</v>
      </c>
      <c r="F17" s="8">
        <v>0.96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88</v>
      </c>
      <c r="C18" s="12">
        <v>6</v>
      </c>
      <c r="D18" s="8">
        <v>3.24</v>
      </c>
      <c r="E18" s="12">
        <v>3</v>
      </c>
      <c r="F18" s="8">
        <v>2.88</v>
      </c>
      <c r="G18" s="12">
        <v>2</v>
      </c>
      <c r="H18" s="8">
        <v>2.63</v>
      </c>
      <c r="I18" s="12">
        <v>0</v>
      </c>
    </row>
    <row r="19" spans="2:9" ht="15" customHeight="1" x14ac:dyDescent="0.2">
      <c r="B19" t="s">
        <v>89</v>
      </c>
      <c r="C19" s="12">
        <v>13</v>
      </c>
      <c r="D19" s="8">
        <v>7.03</v>
      </c>
      <c r="E19" s="12">
        <v>7</v>
      </c>
      <c r="F19" s="8">
        <v>6.73</v>
      </c>
      <c r="G19" s="12">
        <v>4</v>
      </c>
      <c r="H19" s="8">
        <v>5.26</v>
      </c>
      <c r="I19" s="12">
        <v>0</v>
      </c>
    </row>
    <row r="20" spans="2:9" ht="15" customHeight="1" x14ac:dyDescent="0.2">
      <c r="B20" s="9" t="s">
        <v>271</v>
      </c>
      <c r="C20" s="12">
        <f>SUM(LTBL_27322[総数／事業所数])</f>
        <v>185</v>
      </c>
      <c r="E20" s="12">
        <f>SUBTOTAL(109,LTBL_27322[個人／事業所数])</f>
        <v>104</v>
      </c>
      <c r="G20" s="12">
        <f>SUBTOTAL(109,LTBL_27322[法人／事業所数])</f>
        <v>76</v>
      </c>
      <c r="I20" s="12">
        <f>SUBTOTAL(109,LTBL_27322[法人以外の団体／事業所数])</f>
        <v>0</v>
      </c>
    </row>
    <row r="21" spans="2:9" ht="15" customHeight="1" x14ac:dyDescent="0.2">
      <c r="E21" s="11">
        <f>LTBL_27322[[#Totals],[個人／事業所数]]/LTBL_27322[[#Totals],[総数／事業所数]]</f>
        <v>0.56216216216216219</v>
      </c>
      <c r="G21" s="11">
        <f>LTBL_27322[[#Totals],[法人／事業所数]]/LTBL_27322[[#Totals],[総数／事業所数]]</f>
        <v>0.41081081081081083</v>
      </c>
      <c r="I21" s="11">
        <f>LTBL_27322[[#Totals],[法人以外の団体／事業所数]]/LTBL_27322[[#Totals],[総数／事業所数]]</f>
        <v>0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98</v>
      </c>
      <c r="C24" s="12">
        <v>21</v>
      </c>
      <c r="D24" s="8">
        <v>11.35</v>
      </c>
      <c r="E24" s="12">
        <v>9</v>
      </c>
      <c r="F24" s="8">
        <v>8.65</v>
      </c>
      <c r="G24" s="12">
        <v>12</v>
      </c>
      <c r="H24" s="8">
        <v>15.79</v>
      </c>
      <c r="I24" s="12">
        <v>0</v>
      </c>
    </row>
    <row r="25" spans="2:9" ht="15" customHeight="1" x14ac:dyDescent="0.2">
      <c r="B25" t="s">
        <v>108</v>
      </c>
      <c r="C25" s="12">
        <v>16</v>
      </c>
      <c r="D25" s="8">
        <v>8.65</v>
      </c>
      <c r="E25" s="12">
        <v>12</v>
      </c>
      <c r="F25" s="8">
        <v>11.54</v>
      </c>
      <c r="G25" s="12">
        <v>4</v>
      </c>
      <c r="H25" s="8">
        <v>5.26</v>
      </c>
      <c r="I25" s="12">
        <v>0</v>
      </c>
    </row>
    <row r="26" spans="2:9" ht="15" customHeight="1" x14ac:dyDescent="0.2">
      <c r="B26" t="s">
        <v>113</v>
      </c>
      <c r="C26" s="12">
        <v>13</v>
      </c>
      <c r="D26" s="8">
        <v>7.03</v>
      </c>
      <c r="E26" s="12">
        <v>11</v>
      </c>
      <c r="F26" s="8">
        <v>10.58</v>
      </c>
      <c r="G26" s="12">
        <v>2</v>
      </c>
      <c r="H26" s="8">
        <v>2.63</v>
      </c>
      <c r="I26" s="12">
        <v>0</v>
      </c>
    </row>
    <row r="27" spans="2:9" ht="15" customHeight="1" x14ac:dyDescent="0.2">
      <c r="B27" t="s">
        <v>106</v>
      </c>
      <c r="C27" s="12">
        <v>11</v>
      </c>
      <c r="D27" s="8">
        <v>5.95</v>
      </c>
      <c r="E27" s="12">
        <v>9</v>
      </c>
      <c r="F27" s="8">
        <v>8.65</v>
      </c>
      <c r="G27" s="12">
        <v>2</v>
      </c>
      <c r="H27" s="8">
        <v>2.63</v>
      </c>
      <c r="I27" s="12">
        <v>0</v>
      </c>
    </row>
    <row r="28" spans="2:9" ht="15" customHeight="1" x14ac:dyDescent="0.2">
      <c r="B28" t="s">
        <v>114</v>
      </c>
      <c r="C28" s="12">
        <v>10</v>
      </c>
      <c r="D28" s="8">
        <v>5.41</v>
      </c>
      <c r="E28" s="12">
        <v>10</v>
      </c>
      <c r="F28" s="8">
        <v>9.6199999999999992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99</v>
      </c>
      <c r="C29" s="12">
        <v>9</v>
      </c>
      <c r="D29" s="8">
        <v>4.8600000000000003</v>
      </c>
      <c r="E29" s="12">
        <v>5</v>
      </c>
      <c r="F29" s="8">
        <v>4.8099999999999996</v>
      </c>
      <c r="G29" s="12">
        <v>4</v>
      </c>
      <c r="H29" s="8">
        <v>5.26</v>
      </c>
      <c r="I29" s="12">
        <v>0</v>
      </c>
    </row>
    <row r="30" spans="2:9" ht="15" customHeight="1" x14ac:dyDescent="0.2">
      <c r="B30" t="s">
        <v>100</v>
      </c>
      <c r="C30" s="12">
        <v>9</v>
      </c>
      <c r="D30" s="8">
        <v>4.8600000000000003</v>
      </c>
      <c r="E30" s="12">
        <v>6</v>
      </c>
      <c r="F30" s="8">
        <v>5.77</v>
      </c>
      <c r="G30" s="12">
        <v>3</v>
      </c>
      <c r="H30" s="8">
        <v>3.95</v>
      </c>
      <c r="I30" s="12">
        <v>0</v>
      </c>
    </row>
    <row r="31" spans="2:9" ht="15" customHeight="1" x14ac:dyDescent="0.2">
      <c r="B31" t="s">
        <v>102</v>
      </c>
      <c r="C31" s="12">
        <v>7</v>
      </c>
      <c r="D31" s="8">
        <v>3.78</v>
      </c>
      <c r="E31" s="12">
        <v>2</v>
      </c>
      <c r="F31" s="8">
        <v>1.92</v>
      </c>
      <c r="G31" s="12">
        <v>5</v>
      </c>
      <c r="H31" s="8">
        <v>6.58</v>
      </c>
      <c r="I31" s="12">
        <v>0</v>
      </c>
    </row>
    <row r="32" spans="2:9" ht="15" customHeight="1" x14ac:dyDescent="0.2">
      <c r="B32" t="s">
        <v>107</v>
      </c>
      <c r="C32" s="12">
        <v>7</v>
      </c>
      <c r="D32" s="8">
        <v>3.78</v>
      </c>
      <c r="E32" s="12">
        <v>5</v>
      </c>
      <c r="F32" s="8">
        <v>4.8099999999999996</v>
      </c>
      <c r="G32" s="12">
        <v>2</v>
      </c>
      <c r="H32" s="8">
        <v>2.63</v>
      </c>
      <c r="I32" s="12">
        <v>0</v>
      </c>
    </row>
    <row r="33" spans="2:9" ht="15" customHeight="1" x14ac:dyDescent="0.2">
      <c r="B33" t="s">
        <v>142</v>
      </c>
      <c r="C33" s="12">
        <v>4</v>
      </c>
      <c r="D33" s="8">
        <v>2.16</v>
      </c>
      <c r="E33" s="12">
        <v>4</v>
      </c>
      <c r="F33" s="8">
        <v>3.85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101</v>
      </c>
      <c r="C34" s="12">
        <v>4</v>
      </c>
      <c r="D34" s="8">
        <v>2.16</v>
      </c>
      <c r="E34" s="12">
        <v>2</v>
      </c>
      <c r="F34" s="8">
        <v>1.92</v>
      </c>
      <c r="G34" s="12">
        <v>2</v>
      </c>
      <c r="H34" s="8">
        <v>2.63</v>
      </c>
      <c r="I34" s="12">
        <v>0</v>
      </c>
    </row>
    <row r="35" spans="2:9" ht="15" customHeight="1" x14ac:dyDescent="0.2">
      <c r="B35" t="s">
        <v>117</v>
      </c>
      <c r="C35" s="12">
        <v>4</v>
      </c>
      <c r="D35" s="8">
        <v>2.16</v>
      </c>
      <c r="E35" s="12">
        <v>1</v>
      </c>
      <c r="F35" s="8">
        <v>0.96</v>
      </c>
      <c r="G35" s="12">
        <v>2</v>
      </c>
      <c r="H35" s="8">
        <v>2.63</v>
      </c>
      <c r="I35" s="12">
        <v>0</v>
      </c>
    </row>
    <row r="36" spans="2:9" ht="15" customHeight="1" x14ac:dyDescent="0.2">
      <c r="B36" t="s">
        <v>129</v>
      </c>
      <c r="C36" s="12">
        <v>4</v>
      </c>
      <c r="D36" s="8">
        <v>2.16</v>
      </c>
      <c r="E36" s="12">
        <v>4</v>
      </c>
      <c r="F36" s="8">
        <v>3.85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120</v>
      </c>
      <c r="C37" s="12">
        <v>3</v>
      </c>
      <c r="D37" s="8">
        <v>1.62</v>
      </c>
      <c r="E37" s="12">
        <v>1</v>
      </c>
      <c r="F37" s="8">
        <v>0.96</v>
      </c>
      <c r="G37" s="12">
        <v>2</v>
      </c>
      <c r="H37" s="8">
        <v>2.63</v>
      </c>
      <c r="I37" s="12">
        <v>0</v>
      </c>
    </row>
    <row r="38" spans="2:9" ht="15" customHeight="1" x14ac:dyDescent="0.2">
      <c r="B38" t="s">
        <v>141</v>
      </c>
      <c r="C38" s="12">
        <v>3</v>
      </c>
      <c r="D38" s="8">
        <v>1.62</v>
      </c>
      <c r="E38" s="12">
        <v>1</v>
      </c>
      <c r="F38" s="8">
        <v>0.96</v>
      </c>
      <c r="G38" s="12">
        <v>2</v>
      </c>
      <c r="H38" s="8">
        <v>2.63</v>
      </c>
      <c r="I38" s="12">
        <v>0</v>
      </c>
    </row>
    <row r="39" spans="2:9" ht="15" customHeight="1" x14ac:dyDescent="0.2">
      <c r="B39" t="s">
        <v>132</v>
      </c>
      <c r="C39" s="12">
        <v>3</v>
      </c>
      <c r="D39" s="8">
        <v>1.62</v>
      </c>
      <c r="E39" s="12">
        <v>3</v>
      </c>
      <c r="F39" s="8">
        <v>2.88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146</v>
      </c>
      <c r="C40" s="12">
        <v>3</v>
      </c>
      <c r="D40" s="8">
        <v>1.62</v>
      </c>
      <c r="E40" s="12">
        <v>0</v>
      </c>
      <c r="F40" s="8">
        <v>0</v>
      </c>
      <c r="G40" s="12">
        <v>3</v>
      </c>
      <c r="H40" s="8">
        <v>3.95</v>
      </c>
      <c r="I40" s="12">
        <v>0</v>
      </c>
    </row>
    <row r="41" spans="2:9" ht="15" customHeight="1" x14ac:dyDescent="0.2">
      <c r="B41" t="s">
        <v>110</v>
      </c>
      <c r="C41" s="12">
        <v>3</v>
      </c>
      <c r="D41" s="8">
        <v>1.62</v>
      </c>
      <c r="E41" s="12">
        <v>1</v>
      </c>
      <c r="F41" s="8">
        <v>0.96</v>
      </c>
      <c r="G41" s="12">
        <v>2</v>
      </c>
      <c r="H41" s="8">
        <v>2.63</v>
      </c>
      <c r="I41" s="12">
        <v>0</v>
      </c>
    </row>
    <row r="42" spans="2:9" ht="15" customHeight="1" x14ac:dyDescent="0.2">
      <c r="B42" t="s">
        <v>147</v>
      </c>
      <c r="C42" s="12">
        <v>3</v>
      </c>
      <c r="D42" s="8">
        <v>1.62</v>
      </c>
      <c r="E42" s="12">
        <v>1</v>
      </c>
      <c r="F42" s="8">
        <v>0.96</v>
      </c>
      <c r="G42" s="12">
        <v>1</v>
      </c>
      <c r="H42" s="8">
        <v>1.32</v>
      </c>
      <c r="I42" s="12">
        <v>0</v>
      </c>
    </row>
    <row r="43" spans="2:9" ht="15" customHeight="1" x14ac:dyDescent="0.2">
      <c r="B43" t="s">
        <v>119</v>
      </c>
      <c r="C43" s="12">
        <v>3</v>
      </c>
      <c r="D43" s="8">
        <v>1.62</v>
      </c>
      <c r="E43" s="12">
        <v>0</v>
      </c>
      <c r="F43" s="8">
        <v>0</v>
      </c>
      <c r="G43" s="12">
        <v>3</v>
      </c>
      <c r="H43" s="8">
        <v>3.95</v>
      </c>
      <c r="I43" s="12">
        <v>0</v>
      </c>
    </row>
    <row r="46" spans="2:9" ht="33" customHeight="1" x14ac:dyDescent="0.2">
      <c r="B46" t="s">
        <v>273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190</v>
      </c>
      <c r="C47" s="12">
        <v>12</v>
      </c>
      <c r="D47" s="8">
        <v>6.49</v>
      </c>
      <c r="E47" s="12">
        <v>3</v>
      </c>
      <c r="F47" s="8">
        <v>2.88</v>
      </c>
      <c r="G47" s="12">
        <v>9</v>
      </c>
      <c r="H47" s="8">
        <v>11.84</v>
      </c>
      <c r="I47" s="12">
        <v>0</v>
      </c>
    </row>
    <row r="48" spans="2:9" ht="15" customHeight="1" x14ac:dyDescent="0.2">
      <c r="B48" t="s">
        <v>157</v>
      </c>
      <c r="C48" s="12">
        <v>7</v>
      </c>
      <c r="D48" s="8">
        <v>3.78</v>
      </c>
      <c r="E48" s="12">
        <v>5</v>
      </c>
      <c r="F48" s="8">
        <v>4.8099999999999996</v>
      </c>
      <c r="G48" s="12">
        <v>2</v>
      </c>
      <c r="H48" s="8">
        <v>2.63</v>
      </c>
      <c r="I48" s="12">
        <v>0</v>
      </c>
    </row>
    <row r="49" spans="2:9" ht="15" customHeight="1" x14ac:dyDescent="0.2">
      <c r="B49" t="s">
        <v>167</v>
      </c>
      <c r="C49" s="12">
        <v>7</v>
      </c>
      <c r="D49" s="8">
        <v>3.78</v>
      </c>
      <c r="E49" s="12">
        <v>5</v>
      </c>
      <c r="F49" s="8">
        <v>4.8099999999999996</v>
      </c>
      <c r="G49" s="12">
        <v>2</v>
      </c>
      <c r="H49" s="8">
        <v>2.63</v>
      </c>
      <c r="I49" s="12">
        <v>0</v>
      </c>
    </row>
    <row r="50" spans="2:9" ht="15" customHeight="1" x14ac:dyDescent="0.2">
      <c r="B50" t="s">
        <v>174</v>
      </c>
      <c r="C50" s="12">
        <v>6</v>
      </c>
      <c r="D50" s="8">
        <v>3.24</v>
      </c>
      <c r="E50" s="12">
        <v>4</v>
      </c>
      <c r="F50" s="8">
        <v>3.85</v>
      </c>
      <c r="G50" s="12">
        <v>2</v>
      </c>
      <c r="H50" s="8">
        <v>2.63</v>
      </c>
      <c r="I50" s="12">
        <v>0</v>
      </c>
    </row>
    <row r="51" spans="2:9" ht="15" customHeight="1" x14ac:dyDescent="0.2">
      <c r="B51" t="s">
        <v>245</v>
      </c>
      <c r="C51" s="12">
        <v>6</v>
      </c>
      <c r="D51" s="8">
        <v>3.24</v>
      </c>
      <c r="E51" s="12">
        <v>5</v>
      </c>
      <c r="F51" s="8">
        <v>4.8099999999999996</v>
      </c>
      <c r="G51" s="12">
        <v>1</v>
      </c>
      <c r="H51" s="8">
        <v>1.32</v>
      </c>
      <c r="I51" s="12">
        <v>0</v>
      </c>
    </row>
    <row r="52" spans="2:9" ht="15" customHeight="1" x14ac:dyDescent="0.2">
      <c r="B52" t="s">
        <v>217</v>
      </c>
      <c r="C52" s="12">
        <v>5</v>
      </c>
      <c r="D52" s="8">
        <v>2.7</v>
      </c>
      <c r="E52" s="12">
        <v>2</v>
      </c>
      <c r="F52" s="8">
        <v>1.92</v>
      </c>
      <c r="G52" s="12">
        <v>3</v>
      </c>
      <c r="H52" s="8">
        <v>3.95</v>
      </c>
      <c r="I52" s="12">
        <v>0</v>
      </c>
    </row>
    <row r="53" spans="2:9" ht="15" customHeight="1" x14ac:dyDescent="0.2">
      <c r="B53" t="s">
        <v>156</v>
      </c>
      <c r="C53" s="12">
        <v>5</v>
      </c>
      <c r="D53" s="8">
        <v>2.7</v>
      </c>
      <c r="E53" s="12">
        <v>4</v>
      </c>
      <c r="F53" s="8">
        <v>3.85</v>
      </c>
      <c r="G53" s="12">
        <v>1</v>
      </c>
      <c r="H53" s="8">
        <v>1.32</v>
      </c>
      <c r="I53" s="12">
        <v>0</v>
      </c>
    </row>
    <row r="54" spans="2:9" ht="15" customHeight="1" x14ac:dyDescent="0.2">
      <c r="B54" t="s">
        <v>169</v>
      </c>
      <c r="C54" s="12">
        <v>5</v>
      </c>
      <c r="D54" s="8">
        <v>2.7</v>
      </c>
      <c r="E54" s="12">
        <v>5</v>
      </c>
      <c r="F54" s="8">
        <v>4.8099999999999996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152</v>
      </c>
      <c r="C55" s="12">
        <v>4</v>
      </c>
      <c r="D55" s="8">
        <v>2.16</v>
      </c>
      <c r="E55" s="12">
        <v>3</v>
      </c>
      <c r="F55" s="8">
        <v>2.88</v>
      </c>
      <c r="G55" s="12">
        <v>1</v>
      </c>
      <c r="H55" s="8">
        <v>1.32</v>
      </c>
      <c r="I55" s="12">
        <v>0</v>
      </c>
    </row>
    <row r="56" spans="2:9" ht="15" customHeight="1" x14ac:dyDescent="0.2">
      <c r="B56" t="s">
        <v>224</v>
      </c>
      <c r="C56" s="12">
        <v>4</v>
      </c>
      <c r="D56" s="8">
        <v>2.16</v>
      </c>
      <c r="E56" s="12">
        <v>3</v>
      </c>
      <c r="F56" s="8">
        <v>2.88</v>
      </c>
      <c r="G56" s="12">
        <v>1</v>
      </c>
      <c r="H56" s="8">
        <v>1.32</v>
      </c>
      <c r="I56" s="12">
        <v>0</v>
      </c>
    </row>
    <row r="57" spans="2:9" ht="15" customHeight="1" x14ac:dyDescent="0.2">
      <c r="B57" t="s">
        <v>215</v>
      </c>
      <c r="C57" s="12">
        <v>4</v>
      </c>
      <c r="D57" s="8">
        <v>2.16</v>
      </c>
      <c r="E57" s="12">
        <v>2</v>
      </c>
      <c r="F57" s="8">
        <v>1.92</v>
      </c>
      <c r="G57" s="12">
        <v>2</v>
      </c>
      <c r="H57" s="8">
        <v>2.63</v>
      </c>
      <c r="I57" s="12">
        <v>0</v>
      </c>
    </row>
    <row r="58" spans="2:9" ht="15" customHeight="1" x14ac:dyDescent="0.2">
      <c r="B58" t="s">
        <v>198</v>
      </c>
      <c r="C58" s="12">
        <v>4</v>
      </c>
      <c r="D58" s="8">
        <v>2.16</v>
      </c>
      <c r="E58" s="12">
        <v>4</v>
      </c>
      <c r="F58" s="8">
        <v>3.85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242</v>
      </c>
      <c r="C59" s="12">
        <v>3</v>
      </c>
      <c r="D59" s="8">
        <v>1.62</v>
      </c>
      <c r="E59" s="12">
        <v>3</v>
      </c>
      <c r="F59" s="8">
        <v>2.88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231</v>
      </c>
      <c r="C60" s="12">
        <v>3</v>
      </c>
      <c r="D60" s="8">
        <v>1.62</v>
      </c>
      <c r="E60" s="12">
        <v>1</v>
      </c>
      <c r="F60" s="8">
        <v>0.96</v>
      </c>
      <c r="G60" s="12">
        <v>2</v>
      </c>
      <c r="H60" s="8">
        <v>2.63</v>
      </c>
      <c r="I60" s="12">
        <v>0</v>
      </c>
    </row>
    <row r="61" spans="2:9" ht="15" customHeight="1" x14ac:dyDescent="0.2">
      <c r="B61" t="s">
        <v>182</v>
      </c>
      <c r="C61" s="12">
        <v>3</v>
      </c>
      <c r="D61" s="8">
        <v>1.62</v>
      </c>
      <c r="E61" s="12">
        <v>3</v>
      </c>
      <c r="F61" s="8">
        <v>2.88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168</v>
      </c>
      <c r="C62" s="12">
        <v>3</v>
      </c>
      <c r="D62" s="8">
        <v>1.62</v>
      </c>
      <c r="E62" s="12">
        <v>3</v>
      </c>
      <c r="F62" s="8">
        <v>2.88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173</v>
      </c>
      <c r="C63" s="12">
        <v>3</v>
      </c>
      <c r="D63" s="8">
        <v>1.62</v>
      </c>
      <c r="E63" s="12">
        <v>0</v>
      </c>
      <c r="F63" s="8">
        <v>0</v>
      </c>
      <c r="G63" s="12">
        <v>3</v>
      </c>
      <c r="H63" s="8">
        <v>3.95</v>
      </c>
      <c r="I63" s="12">
        <v>0</v>
      </c>
    </row>
    <row r="64" spans="2:9" ht="15" customHeight="1" x14ac:dyDescent="0.2">
      <c r="B64" t="s">
        <v>239</v>
      </c>
      <c r="C64" s="12">
        <v>2</v>
      </c>
      <c r="D64" s="8">
        <v>1.08</v>
      </c>
      <c r="E64" s="12">
        <v>0</v>
      </c>
      <c r="F64" s="8">
        <v>0</v>
      </c>
      <c r="G64" s="12">
        <v>2</v>
      </c>
      <c r="H64" s="8">
        <v>2.63</v>
      </c>
      <c r="I64" s="12">
        <v>0</v>
      </c>
    </row>
    <row r="65" spans="2:9" ht="15" customHeight="1" x14ac:dyDescent="0.2">
      <c r="B65" t="s">
        <v>226</v>
      </c>
      <c r="C65" s="12">
        <v>2</v>
      </c>
      <c r="D65" s="8">
        <v>1.08</v>
      </c>
      <c r="E65" s="12">
        <v>2</v>
      </c>
      <c r="F65" s="8">
        <v>1.92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153</v>
      </c>
      <c r="C66" s="12">
        <v>2</v>
      </c>
      <c r="D66" s="8">
        <v>1.08</v>
      </c>
      <c r="E66" s="12">
        <v>1</v>
      </c>
      <c r="F66" s="8">
        <v>0.96</v>
      </c>
      <c r="G66" s="12">
        <v>1</v>
      </c>
      <c r="H66" s="8">
        <v>1.32</v>
      </c>
      <c r="I66" s="12">
        <v>0</v>
      </c>
    </row>
    <row r="67" spans="2:9" ht="15" customHeight="1" x14ac:dyDescent="0.2">
      <c r="B67" t="s">
        <v>240</v>
      </c>
      <c r="C67" s="12">
        <v>2</v>
      </c>
      <c r="D67" s="8">
        <v>1.08</v>
      </c>
      <c r="E67" s="12">
        <v>2</v>
      </c>
      <c r="F67" s="8">
        <v>1.92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241</v>
      </c>
      <c r="C68" s="12">
        <v>2</v>
      </c>
      <c r="D68" s="8">
        <v>1.08</v>
      </c>
      <c r="E68" s="12">
        <v>0</v>
      </c>
      <c r="F68" s="8">
        <v>0</v>
      </c>
      <c r="G68" s="12">
        <v>2</v>
      </c>
      <c r="H68" s="8">
        <v>2.63</v>
      </c>
      <c r="I68" s="12">
        <v>0</v>
      </c>
    </row>
    <row r="69" spans="2:9" ht="15" customHeight="1" x14ac:dyDescent="0.2">
      <c r="B69" t="s">
        <v>175</v>
      </c>
      <c r="C69" s="12">
        <v>2</v>
      </c>
      <c r="D69" s="8">
        <v>1.08</v>
      </c>
      <c r="E69" s="12">
        <v>2</v>
      </c>
      <c r="F69" s="8">
        <v>1.92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243</v>
      </c>
      <c r="C70" s="12">
        <v>2</v>
      </c>
      <c r="D70" s="8">
        <v>1.08</v>
      </c>
      <c r="E70" s="12">
        <v>2</v>
      </c>
      <c r="F70" s="8">
        <v>1.92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244</v>
      </c>
      <c r="C71" s="12">
        <v>2</v>
      </c>
      <c r="D71" s="8">
        <v>1.08</v>
      </c>
      <c r="E71" s="12">
        <v>0</v>
      </c>
      <c r="F71" s="8">
        <v>0</v>
      </c>
      <c r="G71" s="12">
        <v>2</v>
      </c>
      <c r="H71" s="8">
        <v>2.63</v>
      </c>
      <c r="I71" s="12">
        <v>0</v>
      </c>
    </row>
    <row r="72" spans="2:9" ht="15" customHeight="1" x14ac:dyDescent="0.2">
      <c r="B72" t="s">
        <v>179</v>
      </c>
      <c r="C72" s="12">
        <v>2</v>
      </c>
      <c r="D72" s="8">
        <v>1.08</v>
      </c>
      <c r="E72" s="12">
        <v>0</v>
      </c>
      <c r="F72" s="8">
        <v>0</v>
      </c>
      <c r="G72" s="12">
        <v>2</v>
      </c>
      <c r="H72" s="8">
        <v>2.63</v>
      </c>
      <c r="I72" s="12">
        <v>0</v>
      </c>
    </row>
    <row r="73" spans="2:9" ht="15" customHeight="1" x14ac:dyDescent="0.2">
      <c r="B73" t="s">
        <v>181</v>
      </c>
      <c r="C73" s="12">
        <v>2</v>
      </c>
      <c r="D73" s="8">
        <v>1.08</v>
      </c>
      <c r="E73" s="12">
        <v>2</v>
      </c>
      <c r="F73" s="8">
        <v>1.92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195</v>
      </c>
      <c r="C74" s="12">
        <v>2</v>
      </c>
      <c r="D74" s="8">
        <v>1.08</v>
      </c>
      <c r="E74" s="12">
        <v>2</v>
      </c>
      <c r="F74" s="8">
        <v>1.92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160</v>
      </c>
      <c r="C75" s="12">
        <v>2</v>
      </c>
      <c r="D75" s="8">
        <v>1.08</v>
      </c>
      <c r="E75" s="12">
        <v>1</v>
      </c>
      <c r="F75" s="8">
        <v>0.96</v>
      </c>
      <c r="G75" s="12">
        <v>1</v>
      </c>
      <c r="H75" s="8">
        <v>1.32</v>
      </c>
      <c r="I75" s="12">
        <v>0</v>
      </c>
    </row>
    <row r="76" spans="2:9" ht="15" customHeight="1" x14ac:dyDescent="0.2">
      <c r="B76" t="s">
        <v>172</v>
      </c>
      <c r="C76" s="12">
        <v>2</v>
      </c>
      <c r="D76" s="8">
        <v>1.08</v>
      </c>
      <c r="E76" s="12">
        <v>0</v>
      </c>
      <c r="F76" s="8">
        <v>0</v>
      </c>
      <c r="G76" s="12">
        <v>2</v>
      </c>
      <c r="H76" s="8">
        <v>2.63</v>
      </c>
      <c r="I76" s="12">
        <v>0</v>
      </c>
    </row>
    <row r="77" spans="2:9" ht="15" customHeight="1" x14ac:dyDescent="0.2">
      <c r="B77" t="s">
        <v>246</v>
      </c>
      <c r="C77" s="12">
        <v>2</v>
      </c>
      <c r="D77" s="8">
        <v>1.08</v>
      </c>
      <c r="E77" s="12">
        <v>1</v>
      </c>
      <c r="F77" s="8">
        <v>0.96</v>
      </c>
      <c r="G77" s="12">
        <v>1</v>
      </c>
      <c r="H77" s="8">
        <v>1.32</v>
      </c>
      <c r="I77" s="12">
        <v>0</v>
      </c>
    </row>
    <row r="78" spans="2:9" ht="15" customHeight="1" x14ac:dyDescent="0.2">
      <c r="B78" t="s">
        <v>247</v>
      </c>
      <c r="C78" s="12">
        <v>2</v>
      </c>
      <c r="D78" s="8">
        <v>1.08</v>
      </c>
      <c r="E78" s="12">
        <v>2</v>
      </c>
      <c r="F78" s="8">
        <v>1.92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248</v>
      </c>
      <c r="C79" s="12">
        <v>2</v>
      </c>
      <c r="D79" s="8">
        <v>1.08</v>
      </c>
      <c r="E79" s="12">
        <v>1</v>
      </c>
      <c r="F79" s="8">
        <v>0.96</v>
      </c>
      <c r="G79" s="12">
        <v>0</v>
      </c>
      <c r="H79" s="8">
        <v>0</v>
      </c>
      <c r="I79" s="12">
        <v>0</v>
      </c>
    </row>
    <row r="80" spans="2:9" ht="15" customHeight="1" x14ac:dyDescent="0.2">
      <c r="B80" t="s">
        <v>249</v>
      </c>
      <c r="C80" s="12">
        <v>2</v>
      </c>
      <c r="D80" s="8">
        <v>1.08</v>
      </c>
      <c r="E80" s="12">
        <v>0</v>
      </c>
      <c r="F80" s="8">
        <v>0</v>
      </c>
      <c r="G80" s="12">
        <v>1</v>
      </c>
      <c r="H80" s="8">
        <v>1.32</v>
      </c>
      <c r="I80" s="12">
        <v>0</v>
      </c>
    </row>
    <row r="81" spans="2:9" ht="15" customHeight="1" x14ac:dyDescent="0.2">
      <c r="B81" t="s">
        <v>250</v>
      </c>
      <c r="C81" s="12">
        <v>2</v>
      </c>
      <c r="D81" s="8">
        <v>1.08</v>
      </c>
      <c r="E81" s="12">
        <v>2</v>
      </c>
      <c r="F81" s="8">
        <v>1.92</v>
      </c>
      <c r="G81" s="12">
        <v>0</v>
      </c>
      <c r="H81" s="8">
        <v>0</v>
      </c>
      <c r="I81" s="12">
        <v>0</v>
      </c>
    </row>
    <row r="83" spans="2:9" ht="15" customHeight="1" x14ac:dyDescent="0.2">
      <c r="B83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43027-7268-4DEA-B451-65779BBC86C2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342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41</v>
      </c>
      <c r="D6" s="8">
        <v>11.95</v>
      </c>
      <c r="E6" s="12">
        <v>7</v>
      </c>
      <c r="F6" s="8">
        <v>3.91</v>
      </c>
      <c r="G6" s="12">
        <v>34</v>
      </c>
      <c r="H6" s="8">
        <v>21.12</v>
      </c>
      <c r="I6" s="12">
        <v>0</v>
      </c>
    </row>
    <row r="7" spans="2:9" ht="15" customHeight="1" x14ac:dyDescent="0.2">
      <c r="B7" t="s">
        <v>77</v>
      </c>
      <c r="C7" s="12">
        <v>67</v>
      </c>
      <c r="D7" s="8">
        <v>19.53</v>
      </c>
      <c r="E7" s="12">
        <v>25</v>
      </c>
      <c r="F7" s="8">
        <v>13.97</v>
      </c>
      <c r="G7" s="12">
        <v>42</v>
      </c>
      <c r="H7" s="8">
        <v>26.09</v>
      </c>
      <c r="I7" s="12">
        <v>0</v>
      </c>
    </row>
    <row r="8" spans="2:9" ht="15" customHeight="1" x14ac:dyDescent="0.2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79</v>
      </c>
      <c r="C9" s="12">
        <v>1</v>
      </c>
      <c r="D9" s="8">
        <v>0.28999999999999998</v>
      </c>
      <c r="E9" s="12">
        <v>0</v>
      </c>
      <c r="F9" s="8">
        <v>0</v>
      </c>
      <c r="G9" s="12">
        <v>1</v>
      </c>
      <c r="H9" s="8">
        <v>0.62</v>
      </c>
      <c r="I9" s="12">
        <v>0</v>
      </c>
    </row>
    <row r="10" spans="2:9" ht="15" customHeight="1" x14ac:dyDescent="0.2">
      <c r="B10" t="s">
        <v>80</v>
      </c>
      <c r="C10" s="12">
        <v>4</v>
      </c>
      <c r="D10" s="8">
        <v>1.17</v>
      </c>
      <c r="E10" s="12">
        <v>0</v>
      </c>
      <c r="F10" s="8">
        <v>0</v>
      </c>
      <c r="G10" s="12">
        <v>4</v>
      </c>
      <c r="H10" s="8">
        <v>2.48</v>
      </c>
      <c r="I10" s="12">
        <v>0</v>
      </c>
    </row>
    <row r="11" spans="2:9" ht="15" customHeight="1" x14ac:dyDescent="0.2">
      <c r="B11" t="s">
        <v>81</v>
      </c>
      <c r="C11" s="12">
        <v>83</v>
      </c>
      <c r="D11" s="8">
        <v>24.2</v>
      </c>
      <c r="E11" s="12">
        <v>51</v>
      </c>
      <c r="F11" s="8">
        <v>28.49</v>
      </c>
      <c r="G11" s="12">
        <v>32</v>
      </c>
      <c r="H11" s="8">
        <v>19.88</v>
      </c>
      <c r="I11" s="12">
        <v>0</v>
      </c>
    </row>
    <row r="12" spans="2:9" ht="15" customHeight="1" x14ac:dyDescent="0.2">
      <c r="B12" t="s">
        <v>82</v>
      </c>
      <c r="C12" s="12">
        <v>1</v>
      </c>
      <c r="D12" s="8">
        <v>0.28999999999999998</v>
      </c>
      <c r="E12" s="12">
        <v>1</v>
      </c>
      <c r="F12" s="8">
        <v>0.56000000000000005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83</v>
      </c>
      <c r="C13" s="12">
        <v>29</v>
      </c>
      <c r="D13" s="8">
        <v>8.4499999999999993</v>
      </c>
      <c r="E13" s="12">
        <v>4</v>
      </c>
      <c r="F13" s="8">
        <v>2.23</v>
      </c>
      <c r="G13" s="12">
        <v>25</v>
      </c>
      <c r="H13" s="8">
        <v>15.53</v>
      </c>
      <c r="I13" s="12">
        <v>0</v>
      </c>
    </row>
    <row r="14" spans="2:9" ht="15" customHeight="1" x14ac:dyDescent="0.2">
      <c r="B14" t="s">
        <v>84</v>
      </c>
      <c r="C14" s="12">
        <v>7</v>
      </c>
      <c r="D14" s="8">
        <v>2.04</v>
      </c>
      <c r="E14" s="12">
        <v>4</v>
      </c>
      <c r="F14" s="8">
        <v>2.23</v>
      </c>
      <c r="G14" s="12">
        <v>3</v>
      </c>
      <c r="H14" s="8">
        <v>1.86</v>
      </c>
      <c r="I14" s="12">
        <v>0</v>
      </c>
    </row>
    <row r="15" spans="2:9" ht="15" customHeight="1" x14ac:dyDescent="0.2">
      <c r="B15" t="s">
        <v>85</v>
      </c>
      <c r="C15" s="12">
        <v>34</v>
      </c>
      <c r="D15" s="8">
        <v>9.91</v>
      </c>
      <c r="E15" s="12">
        <v>33</v>
      </c>
      <c r="F15" s="8">
        <v>18.440000000000001</v>
      </c>
      <c r="G15" s="12">
        <v>1</v>
      </c>
      <c r="H15" s="8">
        <v>0.62</v>
      </c>
      <c r="I15" s="12">
        <v>0</v>
      </c>
    </row>
    <row r="16" spans="2:9" ht="15" customHeight="1" x14ac:dyDescent="0.2">
      <c r="B16" t="s">
        <v>86</v>
      </c>
      <c r="C16" s="12">
        <v>31</v>
      </c>
      <c r="D16" s="8">
        <v>9.0399999999999991</v>
      </c>
      <c r="E16" s="12">
        <v>28</v>
      </c>
      <c r="F16" s="8">
        <v>15.64</v>
      </c>
      <c r="G16" s="12">
        <v>3</v>
      </c>
      <c r="H16" s="8">
        <v>1.86</v>
      </c>
      <c r="I16" s="12">
        <v>0</v>
      </c>
    </row>
    <row r="17" spans="2:9" ht="15" customHeight="1" x14ac:dyDescent="0.2">
      <c r="B17" t="s">
        <v>87</v>
      </c>
      <c r="C17" s="12">
        <v>8</v>
      </c>
      <c r="D17" s="8">
        <v>2.33</v>
      </c>
      <c r="E17" s="12">
        <v>3</v>
      </c>
      <c r="F17" s="8">
        <v>1.68</v>
      </c>
      <c r="G17" s="12">
        <v>3</v>
      </c>
      <c r="H17" s="8">
        <v>1.86</v>
      </c>
      <c r="I17" s="12">
        <v>0</v>
      </c>
    </row>
    <row r="18" spans="2:9" ht="15" customHeight="1" x14ac:dyDescent="0.2">
      <c r="B18" t="s">
        <v>88</v>
      </c>
      <c r="C18" s="12">
        <v>25</v>
      </c>
      <c r="D18" s="8">
        <v>7.29</v>
      </c>
      <c r="E18" s="12">
        <v>15</v>
      </c>
      <c r="F18" s="8">
        <v>8.3800000000000008</v>
      </c>
      <c r="G18" s="12">
        <v>9</v>
      </c>
      <c r="H18" s="8">
        <v>5.59</v>
      </c>
      <c r="I18" s="12">
        <v>0</v>
      </c>
    </row>
    <row r="19" spans="2:9" ht="15" customHeight="1" x14ac:dyDescent="0.2">
      <c r="B19" t="s">
        <v>89</v>
      </c>
      <c r="C19" s="12">
        <v>12</v>
      </c>
      <c r="D19" s="8">
        <v>3.5</v>
      </c>
      <c r="E19" s="12">
        <v>8</v>
      </c>
      <c r="F19" s="8">
        <v>4.47</v>
      </c>
      <c r="G19" s="12">
        <v>4</v>
      </c>
      <c r="H19" s="8">
        <v>2.48</v>
      </c>
      <c r="I19" s="12">
        <v>0</v>
      </c>
    </row>
    <row r="20" spans="2:9" ht="15" customHeight="1" x14ac:dyDescent="0.2">
      <c r="B20" s="9" t="s">
        <v>271</v>
      </c>
      <c r="C20" s="12">
        <f>SUM(LTBL_27341[総数／事業所数])</f>
        <v>343</v>
      </c>
      <c r="E20" s="12">
        <f>SUBTOTAL(109,LTBL_27341[個人／事業所数])</f>
        <v>179</v>
      </c>
      <c r="G20" s="12">
        <f>SUBTOTAL(109,LTBL_27341[法人／事業所数])</f>
        <v>161</v>
      </c>
      <c r="I20" s="12">
        <f>SUBTOTAL(109,LTBL_27341[法人以外の団体／事業所数])</f>
        <v>0</v>
      </c>
    </row>
    <row r="21" spans="2:9" ht="15" customHeight="1" x14ac:dyDescent="0.2">
      <c r="E21" s="11">
        <f>LTBL_27341[[#Totals],[個人／事業所数]]/LTBL_27341[[#Totals],[総数／事業所数]]</f>
        <v>0.52186588921282795</v>
      </c>
      <c r="G21" s="11">
        <f>LTBL_27341[[#Totals],[法人／事業所数]]/LTBL_27341[[#Totals],[総数／事業所数]]</f>
        <v>0.46938775510204084</v>
      </c>
      <c r="I21" s="11">
        <f>LTBL_27341[[#Totals],[法人以外の団体／事業所数]]/LTBL_27341[[#Totals],[総数／事業所数]]</f>
        <v>0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120</v>
      </c>
      <c r="C24" s="12">
        <v>33</v>
      </c>
      <c r="D24" s="8">
        <v>9.6199999999999992</v>
      </c>
      <c r="E24" s="12">
        <v>16</v>
      </c>
      <c r="F24" s="8">
        <v>8.94</v>
      </c>
      <c r="G24" s="12">
        <v>17</v>
      </c>
      <c r="H24" s="8">
        <v>10.56</v>
      </c>
      <c r="I24" s="12">
        <v>0</v>
      </c>
    </row>
    <row r="25" spans="2:9" ht="15" customHeight="1" x14ac:dyDescent="0.2">
      <c r="B25" t="s">
        <v>113</v>
      </c>
      <c r="C25" s="12">
        <v>33</v>
      </c>
      <c r="D25" s="8">
        <v>9.6199999999999992</v>
      </c>
      <c r="E25" s="12">
        <v>32</v>
      </c>
      <c r="F25" s="8">
        <v>17.88</v>
      </c>
      <c r="G25" s="12">
        <v>1</v>
      </c>
      <c r="H25" s="8">
        <v>0.62</v>
      </c>
      <c r="I25" s="12">
        <v>0</v>
      </c>
    </row>
    <row r="26" spans="2:9" ht="15" customHeight="1" x14ac:dyDescent="0.2">
      <c r="B26" t="s">
        <v>114</v>
      </c>
      <c r="C26" s="12">
        <v>25</v>
      </c>
      <c r="D26" s="8">
        <v>7.29</v>
      </c>
      <c r="E26" s="12">
        <v>23</v>
      </c>
      <c r="F26" s="8">
        <v>12.85</v>
      </c>
      <c r="G26" s="12">
        <v>2</v>
      </c>
      <c r="H26" s="8">
        <v>1.24</v>
      </c>
      <c r="I26" s="12">
        <v>0</v>
      </c>
    </row>
    <row r="27" spans="2:9" ht="15" customHeight="1" x14ac:dyDescent="0.2">
      <c r="B27" t="s">
        <v>108</v>
      </c>
      <c r="C27" s="12">
        <v>22</v>
      </c>
      <c r="D27" s="8">
        <v>6.41</v>
      </c>
      <c r="E27" s="12">
        <v>16</v>
      </c>
      <c r="F27" s="8">
        <v>8.94</v>
      </c>
      <c r="G27" s="12">
        <v>6</v>
      </c>
      <c r="H27" s="8">
        <v>3.73</v>
      </c>
      <c r="I27" s="12">
        <v>0</v>
      </c>
    </row>
    <row r="28" spans="2:9" ht="15" customHeight="1" x14ac:dyDescent="0.2">
      <c r="B28" t="s">
        <v>110</v>
      </c>
      <c r="C28" s="12">
        <v>21</v>
      </c>
      <c r="D28" s="8">
        <v>6.12</v>
      </c>
      <c r="E28" s="12">
        <v>2</v>
      </c>
      <c r="F28" s="8">
        <v>1.1200000000000001</v>
      </c>
      <c r="G28" s="12">
        <v>19</v>
      </c>
      <c r="H28" s="8">
        <v>11.8</v>
      </c>
      <c r="I28" s="12">
        <v>0</v>
      </c>
    </row>
    <row r="29" spans="2:9" ht="15" customHeight="1" x14ac:dyDescent="0.2">
      <c r="B29" t="s">
        <v>116</v>
      </c>
      <c r="C29" s="12">
        <v>20</v>
      </c>
      <c r="D29" s="8">
        <v>5.83</v>
      </c>
      <c r="E29" s="12">
        <v>15</v>
      </c>
      <c r="F29" s="8">
        <v>8.3800000000000008</v>
      </c>
      <c r="G29" s="12">
        <v>5</v>
      </c>
      <c r="H29" s="8">
        <v>3.11</v>
      </c>
      <c r="I29" s="12">
        <v>0</v>
      </c>
    </row>
    <row r="30" spans="2:9" ht="15" customHeight="1" x14ac:dyDescent="0.2">
      <c r="B30" t="s">
        <v>98</v>
      </c>
      <c r="C30" s="12">
        <v>17</v>
      </c>
      <c r="D30" s="8">
        <v>4.96</v>
      </c>
      <c r="E30" s="12">
        <v>3</v>
      </c>
      <c r="F30" s="8">
        <v>1.68</v>
      </c>
      <c r="G30" s="12">
        <v>14</v>
      </c>
      <c r="H30" s="8">
        <v>8.6999999999999993</v>
      </c>
      <c r="I30" s="12">
        <v>0</v>
      </c>
    </row>
    <row r="31" spans="2:9" ht="15" customHeight="1" x14ac:dyDescent="0.2">
      <c r="B31" t="s">
        <v>100</v>
      </c>
      <c r="C31" s="12">
        <v>17</v>
      </c>
      <c r="D31" s="8">
        <v>4.96</v>
      </c>
      <c r="E31" s="12">
        <v>2</v>
      </c>
      <c r="F31" s="8">
        <v>1.1200000000000001</v>
      </c>
      <c r="G31" s="12">
        <v>15</v>
      </c>
      <c r="H31" s="8">
        <v>9.32</v>
      </c>
      <c r="I31" s="12">
        <v>0</v>
      </c>
    </row>
    <row r="32" spans="2:9" ht="15" customHeight="1" x14ac:dyDescent="0.2">
      <c r="B32" t="s">
        <v>106</v>
      </c>
      <c r="C32" s="12">
        <v>17</v>
      </c>
      <c r="D32" s="8">
        <v>4.96</v>
      </c>
      <c r="E32" s="12">
        <v>15</v>
      </c>
      <c r="F32" s="8">
        <v>8.3800000000000008</v>
      </c>
      <c r="G32" s="12">
        <v>2</v>
      </c>
      <c r="H32" s="8">
        <v>1.24</v>
      </c>
      <c r="I32" s="12">
        <v>0</v>
      </c>
    </row>
    <row r="33" spans="2:9" ht="15" customHeight="1" x14ac:dyDescent="0.2">
      <c r="B33" t="s">
        <v>107</v>
      </c>
      <c r="C33" s="12">
        <v>13</v>
      </c>
      <c r="D33" s="8">
        <v>3.79</v>
      </c>
      <c r="E33" s="12">
        <v>9</v>
      </c>
      <c r="F33" s="8">
        <v>5.03</v>
      </c>
      <c r="G33" s="12">
        <v>4</v>
      </c>
      <c r="H33" s="8">
        <v>2.48</v>
      </c>
      <c r="I33" s="12">
        <v>0</v>
      </c>
    </row>
    <row r="34" spans="2:9" ht="15" customHeight="1" x14ac:dyDescent="0.2">
      <c r="B34" t="s">
        <v>129</v>
      </c>
      <c r="C34" s="12">
        <v>10</v>
      </c>
      <c r="D34" s="8">
        <v>2.92</v>
      </c>
      <c r="E34" s="12">
        <v>7</v>
      </c>
      <c r="F34" s="8">
        <v>3.91</v>
      </c>
      <c r="G34" s="12">
        <v>3</v>
      </c>
      <c r="H34" s="8">
        <v>1.86</v>
      </c>
      <c r="I34" s="12">
        <v>0</v>
      </c>
    </row>
    <row r="35" spans="2:9" ht="15" customHeight="1" x14ac:dyDescent="0.2">
      <c r="B35" t="s">
        <v>105</v>
      </c>
      <c r="C35" s="12">
        <v>9</v>
      </c>
      <c r="D35" s="8">
        <v>2.62</v>
      </c>
      <c r="E35" s="12">
        <v>8</v>
      </c>
      <c r="F35" s="8">
        <v>4.47</v>
      </c>
      <c r="G35" s="12">
        <v>1</v>
      </c>
      <c r="H35" s="8">
        <v>0.62</v>
      </c>
      <c r="I35" s="12">
        <v>0</v>
      </c>
    </row>
    <row r="36" spans="2:9" ht="15" customHeight="1" x14ac:dyDescent="0.2">
      <c r="B36" t="s">
        <v>115</v>
      </c>
      <c r="C36" s="12">
        <v>8</v>
      </c>
      <c r="D36" s="8">
        <v>2.33</v>
      </c>
      <c r="E36" s="12">
        <v>3</v>
      </c>
      <c r="F36" s="8">
        <v>1.68</v>
      </c>
      <c r="G36" s="12">
        <v>3</v>
      </c>
      <c r="H36" s="8">
        <v>1.86</v>
      </c>
      <c r="I36" s="12">
        <v>0</v>
      </c>
    </row>
    <row r="37" spans="2:9" ht="15" customHeight="1" x14ac:dyDescent="0.2">
      <c r="B37" t="s">
        <v>99</v>
      </c>
      <c r="C37" s="12">
        <v>7</v>
      </c>
      <c r="D37" s="8">
        <v>2.04</v>
      </c>
      <c r="E37" s="12">
        <v>2</v>
      </c>
      <c r="F37" s="8">
        <v>1.1200000000000001</v>
      </c>
      <c r="G37" s="12">
        <v>5</v>
      </c>
      <c r="H37" s="8">
        <v>3.11</v>
      </c>
      <c r="I37" s="12">
        <v>0</v>
      </c>
    </row>
    <row r="38" spans="2:9" ht="15" customHeight="1" x14ac:dyDescent="0.2">
      <c r="B38" t="s">
        <v>103</v>
      </c>
      <c r="C38" s="12">
        <v>7</v>
      </c>
      <c r="D38" s="8">
        <v>2.04</v>
      </c>
      <c r="E38" s="12">
        <v>2</v>
      </c>
      <c r="F38" s="8">
        <v>1.1200000000000001</v>
      </c>
      <c r="G38" s="12">
        <v>5</v>
      </c>
      <c r="H38" s="8">
        <v>3.11</v>
      </c>
      <c r="I38" s="12">
        <v>0</v>
      </c>
    </row>
    <row r="39" spans="2:9" ht="15" customHeight="1" x14ac:dyDescent="0.2">
      <c r="B39" t="s">
        <v>102</v>
      </c>
      <c r="C39" s="12">
        <v>6</v>
      </c>
      <c r="D39" s="8">
        <v>1.75</v>
      </c>
      <c r="E39" s="12">
        <v>1</v>
      </c>
      <c r="F39" s="8">
        <v>0.56000000000000005</v>
      </c>
      <c r="G39" s="12">
        <v>5</v>
      </c>
      <c r="H39" s="8">
        <v>3.11</v>
      </c>
      <c r="I39" s="12">
        <v>0</v>
      </c>
    </row>
    <row r="40" spans="2:9" ht="15" customHeight="1" x14ac:dyDescent="0.2">
      <c r="B40" t="s">
        <v>127</v>
      </c>
      <c r="C40" s="12">
        <v>5</v>
      </c>
      <c r="D40" s="8">
        <v>1.46</v>
      </c>
      <c r="E40" s="12">
        <v>0</v>
      </c>
      <c r="F40" s="8">
        <v>0</v>
      </c>
      <c r="G40" s="12">
        <v>5</v>
      </c>
      <c r="H40" s="8">
        <v>3.11</v>
      </c>
      <c r="I40" s="12">
        <v>0</v>
      </c>
    </row>
    <row r="41" spans="2:9" ht="15" customHeight="1" x14ac:dyDescent="0.2">
      <c r="B41" t="s">
        <v>109</v>
      </c>
      <c r="C41" s="12">
        <v>5</v>
      </c>
      <c r="D41" s="8">
        <v>1.46</v>
      </c>
      <c r="E41" s="12">
        <v>2</v>
      </c>
      <c r="F41" s="8">
        <v>1.1200000000000001</v>
      </c>
      <c r="G41" s="12">
        <v>3</v>
      </c>
      <c r="H41" s="8">
        <v>1.86</v>
      </c>
      <c r="I41" s="12">
        <v>0</v>
      </c>
    </row>
    <row r="42" spans="2:9" ht="15" customHeight="1" x14ac:dyDescent="0.2">
      <c r="B42" t="s">
        <v>111</v>
      </c>
      <c r="C42" s="12">
        <v>5</v>
      </c>
      <c r="D42" s="8">
        <v>1.46</v>
      </c>
      <c r="E42" s="12">
        <v>3</v>
      </c>
      <c r="F42" s="8">
        <v>1.68</v>
      </c>
      <c r="G42" s="12">
        <v>2</v>
      </c>
      <c r="H42" s="8">
        <v>1.24</v>
      </c>
      <c r="I42" s="12">
        <v>0</v>
      </c>
    </row>
    <row r="43" spans="2:9" ht="15" customHeight="1" x14ac:dyDescent="0.2">
      <c r="B43" t="s">
        <v>130</v>
      </c>
      <c r="C43" s="12">
        <v>5</v>
      </c>
      <c r="D43" s="8">
        <v>1.46</v>
      </c>
      <c r="E43" s="12">
        <v>4</v>
      </c>
      <c r="F43" s="8">
        <v>2.23</v>
      </c>
      <c r="G43" s="12">
        <v>1</v>
      </c>
      <c r="H43" s="8">
        <v>0.62</v>
      </c>
      <c r="I43" s="12">
        <v>0</v>
      </c>
    </row>
    <row r="44" spans="2:9" ht="15" customHeight="1" x14ac:dyDescent="0.2">
      <c r="B44" t="s">
        <v>117</v>
      </c>
      <c r="C44" s="12">
        <v>5</v>
      </c>
      <c r="D44" s="8">
        <v>1.46</v>
      </c>
      <c r="E44" s="12">
        <v>0</v>
      </c>
      <c r="F44" s="8">
        <v>0</v>
      </c>
      <c r="G44" s="12">
        <v>4</v>
      </c>
      <c r="H44" s="8">
        <v>2.48</v>
      </c>
      <c r="I44" s="12">
        <v>0</v>
      </c>
    </row>
    <row r="47" spans="2:9" ht="33" customHeight="1" x14ac:dyDescent="0.2">
      <c r="B47" t="s">
        <v>273</v>
      </c>
      <c r="C47" s="10" t="s">
        <v>91</v>
      </c>
      <c r="D47" s="10" t="s">
        <v>92</v>
      </c>
      <c r="E47" s="10" t="s">
        <v>93</v>
      </c>
      <c r="F47" s="10" t="s">
        <v>94</v>
      </c>
      <c r="G47" s="10" t="s">
        <v>95</v>
      </c>
      <c r="H47" s="10" t="s">
        <v>96</v>
      </c>
      <c r="I47" s="10" t="s">
        <v>97</v>
      </c>
    </row>
    <row r="48" spans="2:9" ht="15" customHeight="1" x14ac:dyDescent="0.2">
      <c r="B48" t="s">
        <v>171</v>
      </c>
      <c r="C48" s="12">
        <v>14</v>
      </c>
      <c r="D48" s="8">
        <v>4.08</v>
      </c>
      <c r="E48" s="12">
        <v>11</v>
      </c>
      <c r="F48" s="8">
        <v>6.15</v>
      </c>
      <c r="G48" s="12">
        <v>3</v>
      </c>
      <c r="H48" s="8">
        <v>1.86</v>
      </c>
      <c r="I48" s="12">
        <v>0</v>
      </c>
    </row>
    <row r="49" spans="2:9" ht="15" customHeight="1" x14ac:dyDescent="0.2">
      <c r="B49" t="s">
        <v>159</v>
      </c>
      <c r="C49" s="12">
        <v>12</v>
      </c>
      <c r="D49" s="8">
        <v>3.5</v>
      </c>
      <c r="E49" s="12">
        <v>0</v>
      </c>
      <c r="F49" s="8">
        <v>0</v>
      </c>
      <c r="G49" s="12">
        <v>12</v>
      </c>
      <c r="H49" s="8">
        <v>7.45</v>
      </c>
      <c r="I49" s="12">
        <v>0</v>
      </c>
    </row>
    <row r="50" spans="2:9" ht="15" customHeight="1" x14ac:dyDescent="0.2">
      <c r="B50" t="s">
        <v>169</v>
      </c>
      <c r="C50" s="12">
        <v>12</v>
      </c>
      <c r="D50" s="8">
        <v>3.5</v>
      </c>
      <c r="E50" s="12">
        <v>12</v>
      </c>
      <c r="F50" s="8">
        <v>6.7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157</v>
      </c>
      <c r="C51" s="12">
        <v>11</v>
      </c>
      <c r="D51" s="8">
        <v>3.21</v>
      </c>
      <c r="E51" s="12">
        <v>9</v>
      </c>
      <c r="F51" s="8">
        <v>5.03</v>
      </c>
      <c r="G51" s="12">
        <v>2</v>
      </c>
      <c r="H51" s="8">
        <v>1.24</v>
      </c>
      <c r="I51" s="12">
        <v>0</v>
      </c>
    </row>
    <row r="52" spans="2:9" ht="15" customHeight="1" x14ac:dyDescent="0.2">
      <c r="B52" t="s">
        <v>198</v>
      </c>
      <c r="C52" s="12">
        <v>10</v>
      </c>
      <c r="D52" s="8">
        <v>2.92</v>
      </c>
      <c r="E52" s="12">
        <v>7</v>
      </c>
      <c r="F52" s="8">
        <v>3.91</v>
      </c>
      <c r="G52" s="12">
        <v>3</v>
      </c>
      <c r="H52" s="8">
        <v>1.86</v>
      </c>
      <c r="I52" s="12">
        <v>0</v>
      </c>
    </row>
    <row r="53" spans="2:9" ht="15" customHeight="1" x14ac:dyDescent="0.2">
      <c r="B53" t="s">
        <v>205</v>
      </c>
      <c r="C53" s="12">
        <v>9</v>
      </c>
      <c r="D53" s="8">
        <v>2.62</v>
      </c>
      <c r="E53" s="12">
        <v>5</v>
      </c>
      <c r="F53" s="8">
        <v>2.79</v>
      </c>
      <c r="G53" s="12">
        <v>4</v>
      </c>
      <c r="H53" s="8">
        <v>2.48</v>
      </c>
      <c r="I53" s="12">
        <v>0</v>
      </c>
    </row>
    <row r="54" spans="2:9" ht="15" customHeight="1" x14ac:dyDescent="0.2">
      <c r="B54" t="s">
        <v>164</v>
      </c>
      <c r="C54" s="12">
        <v>9</v>
      </c>
      <c r="D54" s="8">
        <v>2.62</v>
      </c>
      <c r="E54" s="12">
        <v>9</v>
      </c>
      <c r="F54" s="8">
        <v>5.03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168</v>
      </c>
      <c r="C55" s="12">
        <v>9</v>
      </c>
      <c r="D55" s="8">
        <v>2.62</v>
      </c>
      <c r="E55" s="12">
        <v>9</v>
      </c>
      <c r="F55" s="8">
        <v>5.03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174</v>
      </c>
      <c r="C56" s="12">
        <v>8</v>
      </c>
      <c r="D56" s="8">
        <v>2.33</v>
      </c>
      <c r="E56" s="12">
        <v>1</v>
      </c>
      <c r="F56" s="8">
        <v>0.56000000000000005</v>
      </c>
      <c r="G56" s="12">
        <v>7</v>
      </c>
      <c r="H56" s="8">
        <v>4.3499999999999996</v>
      </c>
      <c r="I56" s="12">
        <v>0</v>
      </c>
    </row>
    <row r="57" spans="2:9" ht="15" customHeight="1" x14ac:dyDescent="0.2">
      <c r="B57" t="s">
        <v>251</v>
      </c>
      <c r="C57" s="12">
        <v>8</v>
      </c>
      <c r="D57" s="8">
        <v>2.33</v>
      </c>
      <c r="E57" s="12">
        <v>4</v>
      </c>
      <c r="F57" s="8">
        <v>2.23</v>
      </c>
      <c r="G57" s="12">
        <v>4</v>
      </c>
      <c r="H57" s="8">
        <v>2.48</v>
      </c>
      <c r="I57" s="12">
        <v>0</v>
      </c>
    </row>
    <row r="58" spans="2:9" ht="15" customHeight="1" x14ac:dyDescent="0.2">
      <c r="B58" t="s">
        <v>153</v>
      </c>
      <c r="C58" s="12">
        <v>7</v>
      </c>
      <c r="D58" s="8">
        <v>2.04</v>
      </c>
      <c r="E58" s="12">
        <v>1</v>
      </c>
      <c r="F58" s="8">
        <v>0.56000000000000005</v>
      </c>
      <c r="G58" s="12">
        <v>6</v>
      </c>
      <c r="H58" s="8">
        <v>3.73</v>
      </c>
      <c r="I58" s="12">
        <v>0</v>
      </c>
    </row>
    <row r="59" spans="2:9" ht="15" customHeight="1" x14ac:dyDescent="0.2">
      <c r="B59" t="s">
        <v>156</v>
      </c>
      <c r="C59" s="12">
        <v>7</v>
      </c>
      <c r="D59" s="8">
        <v>2.04</v>
      </c>
      <c r="E59" s="12">
        <v>5</v>
      </c>
      <c r="F59" s="8">
        <v>2.79</v>
      </c>
      <c r="G59" s="12">
        <v>2</v>
      </c>
      <c r="H59" s="8">
        <v>1.24</v>
      </c>
      <c r="I59" s="12">
        <v>0</v>
      </c>
    </row>
    <row r="60" spans="2:9" ht="15" customHeight="1" x14ac:dyDescent="0.2">
      <c r="B60" t="s">
        <v>160</v>
      </c>
      <c r="C60" s="12">
        <v>7</v>
      </c>
      <c r="D60" s="8">
        <v>2.04</v>
      </c>
      <c r="E60" s="12">
        <v>1</v>
      </c>
      <c r="F60" s="8">
        <v>0.56000000000000005</v>
      </c>
      <c r="G60" s="12">
        <v>6</v>
      </c>
      <c r="H60" s="8">
        <v>3.73</v>
      </c>
      <c r="I60" s="12">
        <v>0</v>
      </c>
    </row>
    <row r="61" spans="2:9" ht="15" customHeight="1" x14ac:dyDescent="0.2">
      <c r="B61" t="s">
        <v>165</v>
      </c>
      <c r="C61" s="12">
        <v>7</v>
      </c>
      <c r="D61" s="8">
        <v>2.04</v>
      </c>
      <c r="E61" s="12">
        <v>7</v>
      </c>
      <c r="F61" s="8">
        <v>3.91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152</v>
      </c>
      <c r="C62" s="12">
        <v>6</v>
      </c>
      <c r="D62" s="8">
        <v>1.75</v>
      </c>
      <c r="E62" s="12">
        <v>1</v>
      </c>
      <c r="F62" s="8">
        <v>0.56000000000000005</v>
      </c>
      <c r="G62" s="12">
        <v>5</v>
      </c>
      <c r="H62" s="8">
        <v>3.11</v>
      </c>
      <c r="I62" s="12">
        <v>0</v>
      </c>
    </row>
    <row r="63" spans="2:9" ht="15" customHeight="1" x14ac:dyDescent="0.2">
      <c r="B63" t="s">
        <v>229</v>
      </c>
      <c r="C63" s="12">
        <v>6</v>
      </c>
      <c r="D63" s="8">
        <v>1.75</v>
      </c>
      <c r="E63" s="12">
        <v>3</v>
      </c>
      <c r="F63" s="8">
        <v>1.68</v>
      </c>
      <c r="G63" s="12">
        <v>3</v>
      </c>
      <c r="H63" s="8">
        <v>1.86</v>
      </c>
      <c r="I63" s="12">
        <v>0</v>
      </c>
    </row>
    <row r="64" spans="2:9" ht="15" customHeight="1" x14ac:dyDescent="0.2">
      <c r="B64" t="s">
        <v>155</v>
      </c>
      <c r="C64" s="12">
        <v>6</v>
      </c>
      <c r="D64" s="8">
        <v>1.75</v>
      </c>
      <c r="E64" s="12">
        <v>5</v>
      </c>
      <c r="F64" s="8">
        <v>2.79</v>
      </c>
      <c r="G64" s="12">
        <v>1</v>
      </c>
      <c r="H64" s="8">
        <v>0.62</v>
      </c>
      <c r="I64" s="12">
        <v>0</v>
      </c>
    </row>
    <row r="65" spans="2:9" ht="15" customHeight="1" x14ac:dyDescent="0.2">
      <c r="B65" t="s">
        <v>195</v>
      </c>
      <c r="C65" s="12">
        <v>6</v>
      </c>
      <c r="D65" s="8">
        <v>1.75</v>
      </c>
      <c r="E65" s="12">
        <v>4</v>
      </c>
      <c r="F65" s="8">
        <v>2.23</v>
      </c>
      <c r="G65" s="12">
        <v>2</v>
      </c>
      <c r="H65" s="8">
        <v>1.24</v>
      </c>
      <c r="I65" s="12">
        <v>0</v>
      </c>
    </row>
    <row r="66" spans="2:9" ht="15" customHeight="1" x14ac:dyDescent="0.2">
      <c r="B66" t="s">
        <v>166</v>
      </c>
      <c r="C66" s="12">
        <v>6</v>
      </c>
      <c r="D66" s="8">
        <v>1.75</v>
      </c>
      <c r="E66" s="12">
        <v>6</v>
      </c>
      <c r="F66" s="8">
        <v>3.35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215</v>
      </c>
      <c r="C67" s="12">
        <v>5</v>
      </c>
      <c r="D67" s="8">
        <v>1.46</v>
      </c>
      <c r="E67" s="12">
        <v>3</v>
      </c>
      <c r="F67" s="8">
        <v>1.68</v>
      </c>
      <c r="G67" s="12">
        <v>2</v>
      </c>
      <c r="H67" s="8">
        <v>1.24</v>
      </c>
      <c r="I67" s="12">
        <v>0</v>
      </c>
    </row>
    <row r="68" spans="2:9" ht="15" customHeight="1" x14ac:dyDescent="0.2">
      <c r="B68" t="s">
        <v>176</v>
      </c>
      <c r="C68" s="12">
        <v>5</v>
      </c>
      <c r="D68" s="8">
        <v>1.46</v>
      </c>
      <c r="E68" s="12">
        <v>3</v>
      </c>
      <c r="F68" s="8">
        <v>1.68</v>
      </c>
      <c r="G68" s="12">
        <v>2</v>
      </c>
      <c r="H68" s="8">
        <v>1.24</v>
      </c>
      <c r="I68" s="12">
        <v>0</v>
      </c>
    </row>
    <row r="70" spans="2:9" ht="15" customHeight="1" x14ac:dyDescent="0.2">
      <c r="B70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C9AD6-4945-490F-B182-EE30CBD32A0E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343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111</v>
      </c>
      <c r="D6" s="8">
        <v>14.53</v>
      </c>
      <c r="E6" s="12">
        <v>42</v>
      </c>
      <c r="F6" s="8">
        <v>8.92</v>
      </c>
      <c r="G6" s="12">
        <v>69</v>
      </c>
      <c r="H6" s="8">
        <v>24.13</v>
      </c>
      <c r="I6" s="12">
        <v>0</v>
      </c>
    </row>
    <row r="7" spans="2:9" ht="15" customHeight="1" x14ac:dyDescent="0.2">
      <c r="B7" t="s">
        <v>77</v>
      </c>
      <c r="C7" s="12">
        <v>78</v>
      </c>
      <c r="D7" s="8">
        <v>10.210000000000001</v>
      </c>
      <c r="E7" s="12">
        <v>44</v>
      </c>
      <c r="F7" s="8">
        <v>9.34</v>
      </c>
      <c r="G7" s="12">
        <v>34</v>
      </c>
      <c r="H7" s="8">
        <v>11.89</v>
      </c>
      <c r="I7" s="12">
        <v>0</v>
      </c>
    </row>
    <row r="8" spans="2:9" ht="15" customHeight="1" x14ac:dyDescent="0.2">
      <c r="B8" t="s">
        <v>78</v>
      </c>
      <c r="C8" s="12">
        <v>1</v>
      </c>
      <c r="D8" s="8">
        <v>0.13</v>
      </c>
      <c r="E8" s="12">
        <v>0</v>
      </c>
      <c r="F8" s="8">
        <v>0</v>
      </c>
      <c r="G8" s="12">
        <v>1</v>
      </c>
      <c r="H8" s="8">
        <v>0.35</v>
      </c>
      <c r="I8" s="12">
        <v>0</v>
      </c>
    </row>
    <row r="9" spans="2:9" ht="15" customHeight="1" x14ac:dyDescent="0.2">
      <c r="B9" t="s">
        <v>79</v>
      </c>
      <c r="C9" s="12">
        <v>1</v>
      </c>
      <c r="D9" s="8">
        <v>0.13</v>
      </c>
      <c r="E9" s="12">
        <v>0</v>
      </c>
      <c r="F9" s="8">
        <v>0</v>
      </c>
      <c r="G9" s="12">
        <v>1</v>
      </c>
      <c r="H9" s="8">
        <v>0.35</v>
      </c>
      <c r="I9" s="12">
        <v>0</v>
      </c>
    </row>
    <row r="10" spans="2:9" ht="15" customHeight="1" x14ac:dyDescent="0.2">
      <c r="B10" t="s">
        <v>80</v>
      </c>
      <c r="C10" s="12">
        <v>5</v>
      </c>
      <c r="D10" s="8">
        <v>0.65</v>
      </c>
      <c r="E10" s="12">
        <v>1</v>
      </c>
      <c r="F10" s="8">
        <v>0.21</v>
      </c>
      <c r="G10" s="12">
        <v>4</v>
      </c>
      <c r="H10" s="8">
        <v>1.4</v>
      </c>
      <c r="I10" s="12">
        <v>0</v>
      </c>
    </row>
    <row r="11" spans="2:9" ht="15" customHeight="1" x14ac:dyDescent="0.2">
      <c r="B11" t="s">
        <v>81</v>
      </c>
      <c r="C11" s="12">
        <v>153</v>
      </c>
      <c r="D11" s="8">
        <v>20.03</v>
      </c>
      <c r="E11" s="12">
        <v>99</v>
      </c>
      <c r="F11" s="8">
        <v>21.02</v>
      </c>
      <c r="G11" s="12">
        <v>53</v>
      </c>
      <c r="H11" s="8">
        <v>18.53</v>
      </c>
      <c r="I11" s="12">
        <v>1</v>
      </c>
    </row>
    <row r="12" spans="2:9" ht="15" customHeight="1" x14ac:dyDescent="0.2">
      <c r="B12" t="s">
        <v>82</v>
      </c>
      <c r="C12" s="12">
        <v>3</v>
      </c>
      <c r="D12" s="8">
        <v>0.39</v>
      </c>
      <c r="E12" s="12">
        <v>1</v>
      </c>
      <c r="F12" s="8">
        <v>0.21</v>
      </c>
      <c r="G12" s="12">
        <v>2</v>
      </c>
      <c r="H12" s="8">
        <v>0.7</v>
      </c>
      <c r="I12" s="12">
        <v>0</v>
      </c>
    </row>
    <row r="13" spans="2:9" ht="15" customHeight="1" x14ac:dyDescent="0.2">
      <c r="B13" t="s">
        <v>83</v>
      </c>
      <c r="C13" s="12">
        <v>101</v>
      </c>
      <c r="D13" s="8">
        <v>13.22</v>
      </c>
      <c r="E13" s="12">
        <v>51</v>
      </c>
      <c r="F13" s="8">
        <v>10.83</v>
      </c>
      <c r="G13" s="12">
        <v>50</v>
      </c>
      <c r="H13" s="8">
        <v>17.48</v>
      </c>
      <c r="I13" s="12">
        <v>0</v>
      </c>
    </row>
    <row r="14" spans="2:9" ht="15" customHeight="1" x14ac:dyDescent="0.2">
      <c r="B14" t="s">
        <v>84</v>
      </c>
      <c r="C14" s="12">
        <v>31</v>
      </c>
      <c r="D14" s="8">
        <v>4.0599999999999996</v>
      </c>
      <c r="E14" s="12">
        <v>19</v>
      </c>
      <c r="F14" s="8">
        <v>4.03</v>
      </c>
      <c r="G14" s="12">
        <v>12</v>
      </c>
      <c r="H14" s="8">
        <v>4.2</v>
      </c>
      <c r="I14" s="12">
        <v>0</v>
      </c>
    </row>
    <row r="15" spans="2:9" ht="15" customHeight="1" x14ac:dyDescent="0.2">
      <c r="B15" t="s">
        <v>85</v>
      </c>
      <c r="C15" s="12">
        <v>71</v>
      </c>
      <c r="D15" s="8">
        <v>9.2899999999999991</v>
      </c>
      <c r="E15" s="12">
        <v>65</v>
      </c>
      <c r="F15" s="8">
        <v>13.8</v>
      </c>
      <c r="G15" s="12">
        <v>6</v>
      </c>
      <c r="H15" s="8">
        <v>2.1</v>
      </c>
      <c r="I15" s="12">
        <v>0</v>
      </c>
    </row>
    <row r="16" spans="2:9" ht="15" customHeight="1" x14ac:dyDescent="0.2">
      <c r="B16" t="s">
        <v>86</v>
      </c>
      <c r="C16" s="12">
        <v>88</v>
      </c>
      <c r="D16" s="8">
        <v>11.52</v>
      </c>
      <c r="E16" s="12">
        <v>77</v>
      </c>
      <c r="F16" s="8">
        <v>16.350000000000001</v>
      </c>
      <c r="G16" s="12">
        <v>10</v>
      </c>
      <c r="H16" s="8">
        <v>3.5</v>
      </c>
      <c r="I16" s="12">
        <v>0</v>
      </c>
    </row>
    <row r="17" spans="2:9" ht="15" customHeight="1" x14ac:dyDescent="0.2">
      <c r="B17" t="s">
        <v>87</v>
      </c>
      <c r="C17" s="12">
        <v>49</v>
      </c>
      <c r="D17" s="8">
        <v>6.41</v>
      </c>
      <c r="E17" s="12">
        <v>40</v>
      </c>
      <c r="F17" s="8">
        <v>8.49</v>
      </c>
      <c r="G17" s="12">
        <v>7</v>
      </c>
      <c r="H17" s="8">
        <v>2.4500000000000002</v>
      </c>
      <c r="I17" s="12">
        <v>0</v>
      </c>
    </row>
    <row r="18" spans="2:9" ht="15" customHeight="1" x14ac:dyDescent="0.2">
      <c r="B18" t="s">
        <v>88</v>
      </c>
      <c r="C18" s="12">
        <v>49</v>
      </c>
      <c r="D18" s="8">
        <v>6.41</v>
      </c>
      <c r="E18" s="12">
        <v>18</v>
      </c>
      <c r="F18" s="8">
        <v>3.82</v>
      </c>
      <c r="G18" s="12">
        <v>30</v>
      </c>
      <c r="H18" s="8">
        <v>10.49</v>
      </c>
      <c r="I18" s="12">
        <v>0</v>
      </c>
    </row>
    <row r="19" spans="2:9" ht="15" customHeight="1" x14ac:dyDescent="0.2">
      <c r="B19" t="s">
        <v>89</v>
      </c>
      <c r="C19" s="12">
        <v>23</v>
      </c>
      <c r="D19" s="8">
        <v>3.01</v>
      </c>
      <c r="E19" s="12">
        <v>14</v>
      </c>
      <c r="F19" s="8">
        <v>2.97</v>
      </c>
      <c r="G19" s="12">
        <v>7</v>
      </c>
      <c r="H19" s="8">
        <v>2.4500000000000002</v>
      </c>
      <c r="I19" s="12">
        <v>1</v>
      </c>
    </row>
    <row r="20" spans="2:9" ht="15" customHeight="1" x14ac:dyDescent="0.2">
      <c r="B20" s="9" t="s">
        <v>271</v>
      </c>
      <c r="C20" s="12">
        <f>SUM(LTBL_27361[総数／事業所数])</f>
        <v>764</v>
      </c>
      <c r="E20" s="12">
        <f>SUBTOTAL(109,LTBL_27361[個人／事業所数])</f>
        <v>471</v>
      </c>
      <c r="G20" s="12">
        <f>SUBTOTAL(109,LTBL_27361[法人／事業所数])</f>
        <v>286</v>
      </c>
      <c r="I20" s="12">
        <f>SUBTOTAL(109,LTBL_27361[法人以外の団体／事業所数])</f>
        <v>2</v>
      </c>
    </row>
    <row r="21" spans="2:9" ht="15" customHeight="1" x14ac:dyDescent="0.2">
      <c r="E21" s="11">
        <f>LTBL_27361[[#Totals],[個人／事業所数]]/LTBL_27361[[#Totals],[総数／事業所数]]</f>
        <v>0.61649214659685869</v>
      </c>
      <c r="G21" s="11">
        <f>LTBL_27361[[#Totals],[法人／事業所数]]/LTBL_27361[[#Totals],[総数／事業所数]]</f>
        <v>0.37434554973821987</v>
      </c>
      <c r="I21" s="11">
        <f>LTBL_27361[[#Totals],[法人以外の団体／事業所数]]/LTBL_27361[[#Totals],[総数／事業所数]]</f>
        <v>2.617801047120419E-3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110</v>
      </c>
      <c r="C24" s="12">
        <v>84</v>
      </c>
      <c r="D24" s="8">
        <v>10.99</v>
      </c>
      <c r="E24" s="12">
        <v>46</v>
      </c>
      <c r="F24" s="8">
        <v>9.77</v>
      </c>
      <c r="G24" s="12">
        <v>38</v>
      </c>
      <c r="H24" s="8">
        <v>13.29</v>
      </c>
      <c r="I24" s="12">
        <v>0</v>
      </c>
    </row>
    <row r="25" spans="2:9" ht="15" customHeight="1" x14ac:dyDescent="0.2">
      <c r="B25" t="s">
        <v>114</v>
      </c>
      <c r="C25" s="12">
        <v>71</v>
      </c>
      <c r="D25" s="8">
        <v>9.2899999999999991</v>
      </c>
      <c r="E25" s="12">
        <v>66</v>
      </c>
      <c r="F25" s="8">
        <v>14.01</v>
      </c>
      <c r="G25" s="12">
        <v>5</v>
      </c>
      <c r="H25" s="8">
        <v>1.75</v>
      </c>
      <c r="I25" s="12">
        <v>0</v>
      </c>
    </row>
    <row r="26" spans="2:9" ht="15" customHeight="1" x14ac:dyDescent="0.2">
      <c r="B26" t="s">
        <v>113</v>
      </c>
      <c r="C26" s="12">
        <v>62</v>
      </c>
      <c r="D26" s="8">
        <v>8.1199999999999992</v>
      </c>
      <c r="E26" s="12">
        <v>59</v>
      </c>
      <c r="F26" s="8">
        <v>12.53</v>
      </c>
      <c r="G26" s="12">
        <v>3</v>
      </c>
      <c r="H26" s="8">
        <v>1.05</v>
      </c>
      <c r="I26" s="12">
        <v>0</v>
      </c>
    </row>
    <row r="27" spans="2:9" ht="15" customHeight="1" x14ac:dyDescent="0.2">
      <c r="B27" t="s">
        <v>98</v>
      </c>
      <c r="C27" s="12">
        <v>52</v>
      </c>
      <c r="D27" s="8">
        <v>6.81</v>
      </c>
      <c r="E27" s="12">
        <v>17</v>
      </c>
      <c r="F27" s="8">
        <v>3.61</v>
      </c>
      <c r="G27" s="12">
        <v>35</v>
      </c>
      <c r="H27" s="8">
        <v>12.24</v>
      </c>
      <c r="I27" s="12">
        <v>0</v>
      </c>
    </row>
    <row r="28" spans="2:9" ht="15" customHeight="1" x14ac:dyDescent="0.2">
      <c r="B28" t="s">
        <v>115</v>
      </c>
      <c r="C28" s="12">
        <v>49</v>
      </c>
      <c r="D28" s="8">
        <v>6.41</v>
      </c>
      <c r="E28" s="12">
        <v>40</v>
      </c>
      <c r="F28" s="8">
        <v>8.49</v>
      </c>
      <c r="G28" s="12">
        <v>7</v>
      </c>
      <c r="H28" s="8">
        <v>2.4500000000000002</v>
      </c>
      <c r="I28" s="12">
        <v>0</v>
      </c>
    </row>
    <row r="29" spans="2:9" ht="15" customHeight="1" x14ac:dyDescent="0.2">
      <c r="B29" t="s">
        <v>120</v>
      </c>
      <c r="C29" s="12">
        <v>48</v>
      </c>
      <c r="D29" s="8">
        <v>6.28</v>
      </c>
      <c r="E29" s="12">
        <v>32</v>
      </c>
      <c r="F29" s="8">
        <v>6.79</v>
      </c>
      <c r="G29" s="12">
        <v>16</v>
      </c>
      <c r="H29" s="8">
        <v>5.59</v>
      </c>
      <c r="I29" s="12">
        <v>0</v>
      </c>
    </row>
    <row r="30" spans="2:9" ht="15" customHeight="1" x14ac:dyDescent="0.2">
      <c r="B30" t="s">
        <v>108</v>
      </c>
      <c r="C30" s="12">
        <v>45</v>
      </c>
      <c r="D30" s="8">
        <v>5.89</v>
      </c>
      <c r="E30" s="12">
        <v>30</v>
      </c>
      <c r="F30" s="8">
        <v>6.37</v>
      </c>
      <c r="G30" s="12">
        <v>14</v>
      </c>
      <c r="H30" s="8">
        <v>4.9000000000000004</v>
      </c>
      <c r="I30" s="12">
        <v>1</v>
      </c>
    </row>
    <row r="31" spans="2:9" ht="15" customHeight="1" x14ac:dyDescent="0.2">
      <c r="B31" t="s">
        <v>106</v>
      </c>
      <c r="C31" s="12">
        <v>35</v>
      </c>
      <c r="D31" s="8">
        <v>4.58</v>
      </c>
      <c r="E31" s="12">
        <v>31</v>
      </c>
      <c r="F31" s="8">
        <v>6.58</v>
      </c>
      <c r="G31" s="12">
        <v>4</v>
      </c>
      <c r="H31" s="8">
        <v>1.4</v>
      </c>
      <c r="I31" s="12">
        <v>0</v>
      </c>
    </row>
    <row r="32" spans="2:9" ht="15" customHeight="1" x14ac:dyDescent="0.2">
      <c r="B32" t="s">
        <v>100</v>
      </c>
      <c r="C32" s="12">
        <v>31</v>
      </c>
      <c r="D32" s="8">
        <v>4.0599999999999996</v>
      </c>
      <c r="E32" s="12">
        <v>13</v>
      </c>
      <c r="F32" s="8">
        <v>2.76</v>
      </c>
      <c r="G32" s="12">
        <v>18</v>
      </c>
      <c r="H32" s="8">
        <v>6.29</v>
      </c>
      <c r="I32" s="12">
        <v>0</v>
      </c>
    </row>
    <row r="33" spans="2:9" ht="15" customHeight="1" x14ac:dyDescent="0.2">
      <c r="B33" t="s">
        <v>99</v>
      </c>
      <c r="C33" s="12">
        <v>28</v>
      </c>
      <c r="D33" s="8">
        <v>3.66</v>
      </c>
      <c r="E33" s="12">
        <v>12</v>
      </c>
      <c r="F33" s="8">
        <v>2.5499999999999998</v>
      </c>
      <c r="G33" s="12">
        <v>16</v>
      </c>
      <c r="H33" s="8">
        <v>5.59</v>
      </c>
      <c r="I33" s="12">
        <v>0</v>
      </c>
    </row>
    <row r="34" spans="2:9" ht="15" customHeight="1" x14ac:dyDescent="0.2">
      <c r="B34" t="s">
        <v>116</v>
      </c>
      <c r="C34" s="12">
        <v>27</v>
      </c>
      <c r="D34" s="8">
        <v>3.53</v>
      </c>
      <c r="E34" s="12">
        <v>18</v>
      </c>
      <c r="F34" s="8">
        <v>3.82</v>
      </c>
      <c r="G34" s="12">
        <v>9</v>
      </c>
      <c r="H34" s="8">
        <v>3.15</v>
      </c>
      <c r="I34" s="12">
        <v>0</v>
      </c>
    </row>
    <row r="35" spans="2:9" ht="15" customHeight="1" x14ac:dyDescent="0.2">
      <c r="B35" t="s">
        <v>107</v>
      </c>
      <c r="C35" s="12">
        <v>23</v>
      </c>
      <c r="D35" s="8">
        <v>3.01</v>
      </c>
      <c r="E35" s="12">
        <v>20</v>
      </c>
      <c r="F35" s="8">
        <v>4.25</v>
      </c>
      <c r="G35" s="12">
        <v>3</v>
      </c>
      <c r="H35" s="8">
        <v>1.05</v>
      </c>
      <c r="I35" s="12">
        <v>0</v>
      </c>
    </row>
    <row r="36" spans="2:9" ht="15" customHeight="1" x14ac:dyDescent="0.2">
      <c r="B36" t="s">
        <v>117</v>
      </c>
      <c r="C36" s="12">
        <v>22</v>
      </c>
      <c r="D36" s="8">
        <v>2.88</v>
      </c>
      <c r="E36" s="12">
        <v>0</v>
      </c>
      <c r="F36" s="8">
        <v>0</v>
      </c>
      <c r="G36" s="12">
        <v>21</v>
      </c>
      <c r="H36" s="8">
        <v>7.34</v>
      </c>
      <c r="I36" s="12">
        <v>0</v>
      </c>
    </row>
    <row r="37" spans="2:9" ht="15" customHeight="1" x14ac:dyDescent="0.2">
      <c r="B37" t="s">
        <v>111</v>
      </c>
      <c r="C37" s="12">
        <v>21</v>
      </c>
      <c r="D37" s="8">
        <v>2.75</v>
      </c>
      <c r="E37" s="12">
        <v>13</v>
      </c>
      <c r="F37" s="8">
        <v>2.76</v>
      </c>
      <c r="G37" s="12">
        <v>8</v>
      </c>
      <c r="H37" s="8">
        <v>2.8</v>
      </c>
      <c r="I37" s="12">
        <v>0</v>
      </c>
    </row>
    <row r="38" spans="2:9" ht="15" customHeight="1" x14ac:dyDescent="0.2">
      <c r="B38" t="s">
        <v>105</v>
      </c>
      <c r="C38" s="12">
        <v>18</v>
      </c>
      <c r="D38" s="8">
        <v>2.36</v>
      </c>
      <c r="E38" s="12">
        <v>13</v>
      </c>
      <c r="F38" s="8">
        <v>2.76</v>
      </c>
      <c r="G38" s="12">
        <v>5</v>
      </c>
      <c r="H38" s="8">
        <v>1.75</v>
      </c>
      <c r="I38" s="12">
        <v>0</v>
      </c>
    </row>
    <row r="39" spans="2:9" ht="15" customHeight="1" x14ac:dyDescent="0.2">
      <c r="B39" t="s">
        <v>130</v>
      </c>
      <c r="C39" s="12">
        <v>15</v>
      </c>
      <c r="D39" s="8">
        <v>1.96</v>
      </c>
      <c r="E39" s="12">
        <v>10</v>
      </c>
      <c r="F39" s="8">
        <v>2.12</v>
      </c>
      <c r="G39" s="12">
        <v>4</v>
      </c>
      <c r="H39" s="8">
        <v>1.4</v>
      </c>
      <c r="I39" s="12">
        <v>0</v>
      </c>
    </row>
    <row r="40" spans="2:9" ht="15" customHeight="1" x14ac:dyDescent="0.2">
      <c r="B40" t="s">
        <v>109</v>
      </c>
      <c r="C40" s="12">
        <v>13</v>
      </c>
      <c r="D40" s="8">
        <v>1.7</v>
      </c>
      <c r="E40" s="12">
        <v>2</v>
      </c>
      <c r="F40" s="8">
        <v>0.42</v>
      </c>
      <c r="G40" s="12">
        <v>11</v>
      </c>
      <c r="H40" s="8">
        <v>3.85</v>
      </c>
      <c r="I40" s="12">
        <v>0</v>
      </c>
    </row>
    <row r="41" spans="2:9" ht="15" customHeight="1" x14ac:dyDescent="0.2">
      <c r="B41" t="s">
        <v>129</v>
      </c>
      <c r="C41" s="12">
        <v>12</v>
      </c>
      <c r="D41" s="8">
        <v>1.57</v>
      </c>
      <c r="E41" s="12">
        <v>11</v>
      </c>
      <c r="F41" s="8">
        <v>2.34</v>
      </c>
      <c r="G41" s="12">
        <v>1</v>
      </c>
      <c r="H41" s="8">
        <v>0.35</v>
      </c>
      <c r="I41" s="12">
        <v>0</v>
      </c>
    </row>
    <row r="42" spans="2:9" ht="15" customHeight="1" x14ac:dyDescent="0.2">
      <c r="B42" t="s">
        <v>112</v>
      </c>
      <c r="C42" s="12">
        <v>10</v>
      </c>
      <c r="D42" s="8">
        <v>1.31</v>
      </c>
      <c r="E42" s="12">
        <v>6</v>
      </c>
      <c r="F42" s="8">
        <v>1.27</v>
      </c>
      <c r="G42" s="12">
        <v>4</v>
      </c>
      <c r="H42" s="8">
        <v>1.4</v>
      </c>
      <c r="I42" s="12">
        <v>0</v>
      </c>
    </row>
    <row r="43" spans="2:9" ht="15" customHeight="1" x14ac:dyDescent="0.2">
      <c r="B43" t="s">
        <v>101</v>
      </c>
      <c r="C43" s="12">
        <v>9</v>
      </c>
      <c r="D43" s="8">
        <v>1.18</v>
      </c>
      <c r="E43" s="12">
        <v>3</v>
      </c>
      <c r="F43" s="8">
        <v>0.64</v>
      </c>
      <c r="G43" s="12">
        <v>6</v>
      </c>
      <c r="H43" s="8">
        <v>2.1</v>
      </c>
      <c r="I43" s="12">
        <v>0</v>
      </c>
    </row>
    <row r="44" spans="2:9" ht="15" customHeight="1" x14ac:dyDescent="0.2">
      <c r="B44" t="s">
        <v>104</v>
      </c>
      <c r="C44" s="12">
        <v>9</v>
      </c>
      <c r="D44" s="8">
        <v>1.18</v>
      </c>
      <c r="E44" s="12">
        <v>1</v>
      </c>
      <c r="F44" s="8">
        <v>0.21</v>
      </c>
      <c r="G44" s="12">
        <v>8</v>
      </c>
      <c r="H44" s="8">
        <v>2.8</v>
      </c>
      <c r="I44" s="12">
        <v>0</v>
      </c>
    </row>
    <row r="45" spans="2:9" ht="15" customHeight="1" x14ac:dyDescent="0.2">
      <c r="B45" t="s">
        <v>124</v>
      </c>
      <c r="C45" s="12">
        <v>9</v>
      </c>
      <c r="D45" s="8">
        <v>1.18</v>
      </c>
      <c r="E45" s="12">
        <v>6</v>
      </c>
      <c r="F45" s="8">
        <v>1.27</v>
      </c>
      <c r="G45" s="12">
        <v>3</v>
      </c>
      <c r="H45" s="8">
        <v>1.05</v>
      </c>
      <c r="I45" s="12">
        <v>0</v>
      </c>
    </row>
    <row r="48" spans="2:9" ht="33" customHeight="1" x14ac:dyDescent="0.2">
      <c r="B48" t="s">
        <v>273</v>
      </c>
      <c r="C48" s="10" t="s">
        <v>91</v>
      </c>
      <c r="D48" s="10" t="s">
        <v>92</v>
      </c>
      <c r="E48" s="10" t="s">
        <v>93</v>
      </c>
      <c r="F48" s="10" t="s">
        <v>94</v>
      </c>
      <c r="G48" s="10" t="s">
        <v>95</v>
      </c>
      <c r="H48" s="10" t="s">
        <v>96</v>
      </c>
      <c r="I48" s="10" t="s">
        <v>97</v>
      </c>
    </row>
    <row r="49" spans="2:9" ht="15" customHeight="1" x14ac:dyDescent="0.2">
      <c r="B49" t="s">
        <v>169</v>
      </c>
      <c r="C49" s="12">
        <v>41</v>
      </c>
      <c r="D49" s="8">
        <v>5.37</v>
      </c>
      <c r="E49" s="12">
        <v>40</v>
      </c>
      <c r="F49" s="8">
        <v>8.49</v>
      </c>
      <c r="G49" s="12">
        <v>1</v>
      </c>
      <c r="H49" s="8">
        <v>0.35</v>
      </c>
      <c r="I49" s="12">
        <v>0</v>
      </c>
    </row>
    <row r="50" spans="2:9" ht="15" customHeight="1" x14ac:dyDescent="0.2">
      <c r="B50" t="s">
        <v>160</v>
      </c>
      <c r="C50" s="12">
        <v>39</v>
      </c>
      <c r="D50" s="8">
        <v>5.0999999999999996</v>
      </c>
      <c r="E50" s="12">
        <v>19</v>
      </c>
      <c r="F50" s="8">
        <v>4.03</v>
      </c>
      <c r="G50" s="12">
        <v>20</v>
      </c>
      <c r="H50" s="8">
        <v>6.99</v>
      </c>
      <c r="I50" s="12">
        <v>0</v>
      </c>
    </row>
    <row r="51" spans="2:9" ht="15" customHeight="1" x14ac:dyDescent="0.2">
      <c r="B51" t="s">
        <v>229</v>
      </c>
      <c r="C51" s="12">
        <v>29</v>
      </c>
      <c r="D51" s="8">
        <v>3.8</v>
      </c>
      <c r="E51" s="12">
        <v>20</v>
      </c>
      <c r="F51" s="8">
        <v>4.25</v>
      </c>
      <c r="G51" s="12">
        <v>9</v>
      </c>
      <c r="H51" s="8">
        <v>3.15</v>
      </c>
      <c r="I51" s="12">
        <v>0</v>
      </c>
    </row>
    <row r="52" spans="2:9" ht="15" customHeight="1" x14ac:dyDescent="0.2">
      <c r="B52" t="s">
        <v>170</v>
      </c>
      <c r="C52" s="12">
        <v>29</v>
      </c>
      <c r="D52" s="8">
        <v>3.8</v>
      </c>
      <c r="E52" s="12">
        <v>26</v>
      </c>
      <c r="F52" s="8">
        <v>5.52</v>
      </c>
      <c r="G52" s="12">
        <v>3</v>
      </c>
      <c r="H52" s="8">
        <v>1.05</v>
      </c>
      <c r="I52" s="12">
        <v>0</v>
      </c>
    </row>
    <row r="53" spans="2:9" ht="15" customHeight="1" x14ac:dyDescent="0.2">
      <c r="B53" t="s">
        <v>161</v>
      </c>
      <c r="C53" s="12">
        <v>27</v>
      </c>
      <c r="D53" s="8">
        <v>3.53</v>
      </c>
      <c r="E53" s="12">
        <v>24</v>
      </c>
      <c r="F53" s="8">
        <v>5.0999999999999996</v>
      </c>
      <c r="G53" s="12">
        <v>3</v>
      </c>
      <c r="H53" s="8">
        <v>1.05</v>
      </c>
      <c r="I53" s="12">
        <v>0</v>
      </c>
    </row>
    <row r="54" spans="2:9" ht="15" customHeight="1" x14ac:dyDescent="0.2">
      <c r="B54" t="s">
        <v>190</v>
      </c>
      <c r="C54" s="12">
        <v>25</v>
      </c>
      <c r="D54" s="8">
        <v>3.27</v>
      </c>
      <c r="E54" s="12">
        <v>9</v>
      </c>
      <c r="F54" s="8">
        <v>1.91</v>
      </c>
      <c r="G54" s="12">
        <v>16</v>
      </c>
      <c r="H54" s="8">
        <v>5.59</v>
      </c>
      <c r="I54" s="12">
        <v>0</v>
      </c>
    </row>
    <row r="55" spans="2:9" ht="15" customHeight="1" x14ac:dyDescent="0.2">
      <c r="B55" t="s">
        <v>171</v>
      </c>
      <c r="C55" s="12">
        <v>22</v>
      </c>
      <c r="D55" s="8">
        <v>2.88</v>
      </c>
      <c r="E55" s="12">
        <v>15</v>
      </c>
      <c r="F55" s="8">
        <v>3.18</v>
      </c>
      <c r="G55" s="12">
        <v>7</v>
      </c>
      <c r="H55" s="8">
        <v>2.4500000000000002</v>
      </c>
      <c r="I55" s="12">
        <v>0</v>
      </c>
    </row>
    <row r="56" spans="2:9" ht="15" customHeight="1" x14ac:dyDescent="0.2">
      <c r="B56" t="s">
        <v>167</v>
      </c>
      <c r="C56" s="12">
        <v>20</v>
      </c>
      <c r="D56" s="8">
        <v>2.62</v>
      </c>
      <c r="E56" s="12">
        <v>20</v>
      </c>
      <c r="F56" s="8">
        <v>4.25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168</v>
      </c>
      <c r="C57" s="12">
        <v>20</v>
      </c>
      <c r="D57" s="8">
        <v>2.62</v>
      </c>
      <c r="E57" s="12">
        <v>20</v>
      </c>
      <c r="F57" s="8">
        <v>4.25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215</v>
      </c>
      <c r="C58" s="12">
        <v>18</v>
      </c>
      <c r="D58" s="8">
        <v>2.36</v>
      </c>
      <c r="E58" s="12">
        <v>15</v>
      </c>
      <c r="F58" s="8">
        <v>3.18</v>
      </c>
      <c r="G58" s="12">
        <v>3</v>
      </c>
      <c r="H58" s="8">
        <v>1.05</v>
      </c>
      <c r="I58" s="12">
        <v>0</v>
      </c>
    </row>
    <row r="59" spans="2:9" ht="15" customHeight="1" x14ac:dyDescent="0.2">
      <c r="B59" t="s">
        <v>199</v>
      </c>
      <c r="C59" s="12">
        <v>17</v>
      </c>
      <c r="D59" s="8">
        <v>2.23</v>
      </c>
      <c r="E59" s="12">
        <v>14</v>
      </c>
      <c r="F59" s="8">
        <v>2.97</v>
      </c>
      <c r="G59" s="12">
        <v>3</v>
      </c>
      <c r="H59" s="8">
        <v>1.05</v>
      </c>
      <c r="I59" s="12">
        <v>0</v>
      </c>
    </row>
    <row r="60" spans="2:9" ht="15" customHeight="1" x14ac:dyDescent="0.2">
      <c r="B60" t="s">
        <v>157</v>
      </c>
      <c r="C60" s="12">
        <v>16</v>
      </c>
      <c r="D60" s="8">
        <v>2.09</v>
      </c>
      <c r="E60" s="12">
        <v>11</v>
      </c>
      <c r="F60" s="8">
        <v>2.34</v>
      </c>
      <c r="G60" s="12">
        <v>5</v>
      </c>
      <c r="H60" s="8">
        <v>1.75</v>
      </c>
      <c r="I60" s="12">
        <v>0</v>
      </c>
    </row>
    <row r="61" spans="2:9" ht="15" customHeight="1" x14ac:dyDescent="0.2">
      <c r="B61" t="s">
        <v>153</v>
      </c>
      <c r="C61" s="12">
        <v>15</v>
      </c>
      <c r="D61" s="8">
        <v>1.96</v>
      </c>
      <c r="E61" s="12">
        <v>8</v>
      </c>
      <c r="F61" s="8">
        <v>1.7</v>
      </c>
      <c r="G61" s="12">
        <v>7</v>
      </c>
      <c r="H61" s="8">
        <v>2.4500000000000002</v>
      </c>
      <c r="I61" s="12">
        <v>0</v>
      </c>
    </row>
    <row r="62" spans="2:9" ht="15" customHeight="1" x14ac:dyDescent="0.2">
      <c r="B62" t="s">
        <v>176</v>
      </c>
      <c r="C62" s="12">
        <v>14</v>
      </c>
      <c r="D62" s="8">
        <v>1.83</v>
      </c>
      <c r="E62" s="12">
        <v>9</v>
      </c>
      <c r="F62" s="8">
        <v>1.91</v>
      </c>
      <c r="G62" s="12">
        <v>5</v>
      </c>
      <c r="H62" s="8">
        <v>1.75</v>
      </c>
      <c r="I62" s="12">
        <v>0</v>
      </c>
    </row>
    <row r="63" spans="2:9" ht="15" customHeight="1" x14ac:dyDescent="0.2">
      <c r="B63" t="s">
        <v>159</v>
      </c>
      <c r="C63" s="12">
        <v>13</v>
      </c>
      <c r="D63" s="8">
        <v>1.7</v>
      </c>
      <c r="E63" s="12">
        <v>3</v>
      </c>
      <c r="F63" s="8">
        <v>0.64</v>
      </c>
      <c r="G63" s="12">
        <v>10</v>
      </c>
      <c r="H63" s="8">
        <v>3.5</v>
      </c>
      <c r="I63" s="12">
        <v>0</v>
      </c>
    </row>
    <row r="64" spans="2:9" ht="15" customHeight="1" x14ac:dyDescent="0.2">
      <c r="B64" t="s">
        <v>164</v>
      </c>
      <c r="C64" s="12">
        <v>13</v>
      </c>
      <c r="D64" s="8">
        <v>1.7</v>
      </c>
      <c r="E64" s="12">
        <v>13</v>
      </c>
      <c r="F64" s="8">
        <v>2.76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198</v>
      </c>
      <c r="C65" s="12">
        <v>12</v>
      </c>
      <c r="D65" s="8">
        <v>1.57</v>
      </c>
      <c r="E65" s="12">
        <v>11</v>
      </c>
      <c r="F65" s="8">
        <v>2.34</v>
      </c>
      <c r="G65" s="12">
        <v>1</v>
      </c>
      <c r="H65" s="8">
        <v>0.35</v>
      </c>
      <c r="I65" s="12">
        <v>0</v>
      </c>
    </row>
    <row r="66" spans="2:9" ht="15" customHeight="1" x14ac:dyDescent="0.2">
      <c r="B66" t="s">
        <v>152</v>
      </c>
      <c r="C66" s="12">
        <v>11</v>
      </c>
      <c r="D66" s="8">
        <v>1.44</v>
      </c>
      <c r="E66" s="12">
        <v>6</v>
      </c>
      <c r="F66" s="8">
        <v>1.27</v>
      </c>
      <c r="G66" s="12">
        <v>5</v>
      </c>
      <c r="H66" s="8">
        <v>1.75</v>
      </c>
      <c r="I66" s="12">
        <v>0</v>
      </c>
    </row>
    <row r="67" spans="2:9" ht="15" customHeight="1" x14ac:dyDescent="0.2">
      <c r="B67" t="s">
        <v>158</v>
      </c>
      <c r="C67" s="12">
        <v>11</v>
      </c>
      <c r="D67" s="8">
        <v>1.44</v>
      </c>
      <c r="E67" s="12">
        <v>2</v>
      </c>
      <c r="F67" s="8">
        <v>0.42</v>
      </c>
      <c r="G67" s="12">
        <v>9</v>
      </c>
      <c r="H67" s="8">
        <v>3.15</v>
      </c>
      <c r="I67" s="12">
        <v>0</v>
      </c>
    </row>
    <row r="68" spans="2:9" ht="15" customHeight="1" x14ac:dyDescent="0.2">
      <c r="B68" t="s">
        <v>209</v>
      </c>
      <c r="C68" s="12">
        <v>11</v>
      </c>
      <c r="D68" s="8">
        <v>1.44</v>
      </c>
      <c r="E68" s="12">
        <v>0</v>
      </c>
      <c r="F68" s="8">
        <v>0</v>
      </c>
      <c r="G68" s="12">
        <v>11</v>
      </c>
      <c r="H68" s="8">
        <v>3.85</v>
      </c>
      <c r="I68" s="12">
        <v>0</v>
      </c>
    </row>
    <row r="70" spans="2:9" ht="15" customHeight="1" x14ac:dyDescent="0.2">
      <c r="B70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93DFD-A207-4F90-8A1F-9DA9CCC9EBEA}">
  <sheetPr>
    <pageSetUpPr fitToPage="1"/>
  </sheetPr>
  <dimension ref="B2:I8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344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19</v>
      </c>
      <c r="D6" s="8">
        <v>11.52</v>
      </c>
      <c r="E6" s="12">
        <v>9</v>
      </c>
      <c r="F6" s="8">
        <v>8.82</v>
      </c>
      <c r="G6" s="12">
        <v>10</v>
      </c>
      <c r="H6" s="8">
        <v>16.13</v>
      </c>
      <c r="I6" s="12">
        <v>0</v>
      </c>
    </row>
    <row r="7" spans="2:9" ht="15" customHeight="1" x14ac:dyDescent="0.2">
      <c r="B7" t="s">
        <v>77</v>
      </c>
      <c r="C7" s="12">
        <v>11</v>
      </c>
      <c r="D7" s="8">
        <v>6.67</v>
      </c>
      <c r="E7" s="12">
        <v>4</v>
      </c>
      <c r="F7" s="8">
        <v>3.92</v>
      </c>
      <c r="G7" s="12">
        <v>7</v>
      </c>
      <c r="H7" s="8">
        <v>11.29</v>
      </c>
      <c r="I7" s="12">
        <v>0</v>
      </c>
    </row>
    <row r="8" spans="2:9" ht="15" customHeight="1" x14ac:dyDescent="0.2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80</v>
      </c>
      <c r="C10" s="12">
        <v>15</v>
      </c>
      <c r="D10" s="8">
        <v>9.09</v>
      </c>
      <c r="E10" s="12">
        <v>0</v>
      </c>
      <c r="F10" s="8">
        <v>0</v>
      </c>
      <c r="G10" s="12">
        <v>15</v>
      </c>
      <c r="H10" s="8">
        <v>24.19</v>
      </c>
      <c r="I10" s="12">
        <v>0</v>
      </c>
    </row>
    <row r="11" spans="2:9" ht="15" customHeight="1" x14ac:dyDescent="0.2">
      <c r="B11" t="s">
        <v>81</v>
      </c>
      <c r="C11" s="12">
        <v>44</v>
      </c>
      <c r="D11" s="8">
        <v>26.67</v>
      </c>
      <c r="E11" s="12">
        <v>27</v>
      </c>
      <c r="F11" s="8">
        <v>26.47</v>
      </c>
      <c r="G11" s="12">
        <v>17</v>
      </c>
      <c r="H11" s="8">
        <v>27.42</v>
      </c>
      <c r="I11" s="12">
        <v>0</v>
      </c>
    </row>
    <row r="12" spans="2:9" ht="15" customHeight="1" x14ac:dyDescent="0.2">
      <c r="B12" t="s">
        <v>82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83</v>
      </c>
      <c r="C13" s="12">
        <v>20</v>
      </c>
      <c r="D13" s="8">
        <v>12.12</v>
      </c>
      <c r="E13" s="12">
        <v>18</v>
      </c>
      <c r="F13" s="8">
        <v>17.649999999999999</v>
      </c>
      <c r="G13" s="12">
        <v>2</v>
      </c>
      <c r="H13" s="8">
        <v>3.23</v>
      </c>
      <c r="I13" s="12">
        <v>0</v>
      </c>
    </row>
    <row r="14" spans="2:9" ht="15" customHeight="1" x14ac:dyDescent="0.2">
      <c r="B14" t="s">
        <v>84</v>
      </c>
      <c r="C14" s="12">
        <v>3</v>
      </c>
      <c r="D14" s="8">
        <v>1.82</v>
      </c>
      <c r="E14" s="12">
        <v>2</v>
      </c>
      <c r="F14" s="8">
        <v>1.96</v>
      </c>
      <c r="G14" s="12">
        <v>1</v>
      </c>
      <c r="H14" s="8">
        <v>1.61</v>
      </c>
      <c r="I14" s="12">
        <v>0</v>
      </c>
    </row>
    <row r="15" spans="2:9" ht="15" customHeight="1" x14ac:dyDescent="0.2">
      <c r="B15" t="s">
        <v>85</v>
      </c>
      <c r="C15" s="12">
        <v>11</v>
      </c>
      <c r="D15" s="8">
        <v>6.67</v>
      </c>
      <c r="E15" s="12">
        <v>7</v>
      </c>
      <c r="F15" s="8">
        <v>6.86</v>
      </c>
      <c r="G15" s="12">
        <v>4</v>
      </c>
      <c r="H15" s="8">
        <v>6.45</v>
      </c>
      <c r="I15" s="12">
        <v>0</v>
      </c>
    </row>
    <row r="16" spans="2:9" ht="15" customHeight="1" x14ac:dyDescent="0.2">
      <c r="B16" t="s">
        <v>86</v>
      </c>
      <c r="C16" s="12">
        <v>20</v>
      </c>
      <c r="D16" s="8">
        <v>12.12</v>
      </c>
      <c r="E16" s="12">
        <v>18</v>
      </c>
      <c r="F16" s="8">
        <v>17.649999999999999</v>
      </c>
      <c r="G16" s="12">
        <v>2</v>
      </c>
      <c r="H16" s="8">
        <v>3.23</v>
      </c>
      <c r="I16" s="12">
        <v>0</v>
      </c>
    </row>
    <row r="17" spans="2:9" ht="15" customHeight="1" x14ac:dyDescent="0.2">
      <c r="B17" t="s">
        <v>87</v>
      </c>
      <c r="C17" s="12">
        <v>9</v>
      </c>
      <c r="D17" s="8">
        <v>5.45</v>
      </c>
      <c r="E17" s="12">
        <v>9</v>
      </c>
      <c r="F17" s="8">
        <v>8.82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88</v>
      </c>
      <c r="C18" s="12">
        <v>7</v>
      </c>
      <c r="D18" s="8">
        <v>4.24</v>
      </c>
      <c r="E18" s="12">
        <v>6</v>
      </c>
      <c r="F18" s="8">
        <v>5.88</v>
      </c>
      <c r="G18" s="12">
        <v>1</v>
      </c>
      <c r="H18" s="8">
        <v>1.61</v>
      </c>
      <c r="I18" s="12">
        <v>0</v>
      </c>
    </row>
    <row r="19" spans="2:9" ht="15" customHeight="1" x14ac:dyDescent="0.2">
      <c r="B19" t="s">
        <v>89</v>
      </c>
      <c r="C19" s="12">
        <v>6</v>
      </c>
      <c r="D19" s="8">
        <v>3.64</v>
      </c>
      <c r="E19" s="12">
        <v>2</v>
      </c>
      <c r="F19" s="8">
        <v>1.96</v>
      </c>
      <c r="G19" s="12">
        <v>3</v>
      </c>
      <c r="H19" s="8">
        <v>4.84</v>
      </c>
      <c r="I19" s="12">
        <v>0</v>
      </c>
    </row>
    <row r="20" spans="2:9" ht="15" customHeight="1" x14ac:dyDescent="0.2">
      <c r="B20" s="9" t="s">
        <v>271</v>
      </c>
      <c r="C20" s="12">
        <f>SUM(LTBL_27362[総数／事業所数])</f>
        <v>165</v>
      </c>
      <c r="E20" s="12">
        <f>SUBTOTAL(109,LTBL_27362[個人／事業所数])</f>
        <v>102</v>
      </c>
      <c r="G20" s="12">
        <f>SUBTOTAL(109,LTBL_27362[法人／事業所数])</f>
        <v>62</v>
      </c>
      <c r="I20" s="12">
        <f>SUBTOTAL(109,LTBL_27362[法人以外の団体／事業所数])</f>
        <v>0</v>
      </c>
    </row>
    <row r="21" spans="2:9" ht="15" customHeight="1" x14ac:dyDescent="0.2">
      <c r="E21" s="11">
        <f>LTBL_27362[[#Totals],[個人／事業所数]]/LTBL_27362[[#Totals],[総数／事業所数]]</f>
        <v>0.61818181818181817</v>
      </c>
      <c r="G21" s="11">
        <f>LTBL_27362[[#Totals],[法人／事業所数]]/LTBL_27362[[#Totals],[総数／事業所数]]</f>
        <v>0.37575757575757573</v>
      </c>
      <c r="I21" s="11">
        <f>LTBL_27362[[#Totals],[法人以外の団体／事業所数]]/LTBL_27362[[#Totals],[総数／事業所数]]</f>
        <v>0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108</v>
      </c>
      <c r="C24" s="12">
        <v>19</v>
      </c>
      <c r="D24" s="8">
        <v>11.52</v>
      </c>
      <c r="E24" s="12">
        <v>12</v>
      </c>
      <c r="F24" s="8">
        <v>11.76</v>
      </c>
      <c r="G24" s="12">
        <v>7</v>
      </c>
      <c r="H24" s="8">
        <v>11.29</v>
      </c>
      <c r="I24" s="12">
        <v>0</v>
      </c>
    </row>
    <row r="25" spans="2:9" ht="15" customHeight="1" x14ac:dyDescent="0.2">
      <c r="B25" t="s">
        <v>110</v>
      </c>
      <c r="C25" s="12">
        <v>19</v>
      </c>
      <c r="D25" s="8">
        <v>11.52</v>
      </c>
      <c r="E25" s="12">
        <v>18</v>
      </c>
      <c r="F25" s="8">
        <v>17.649999999999999</v>
      </c>
      <c r="G25" s="12">
        <v>1</v>
      </c>
      <c r="H25" s="8">
        <v>1.61</v>
      </c>
      <c r="I25" s="12">
        <v>0</v>
      </c>
    </row>
    <row r="26" spans="2:9" ht="15" customHeight="1" x14ac:dyDescent="0.2">
      <c r="B26" t="s">
        <v>114</v>
      </c>
      <c r="C26" s="12">
        <v>17</v>
      </c>
      <c r="D26" s="8">
        <v>10.3</v>
      </c>
      <c r="E26" s="12">
        <v>17</v>
      </c>
      <c r="F26" s="8">
        <v>16.670000000000002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106</v>
      </c>
      <c r="C27" s="12">
        <v>12</v>
      </c>
      <c r="D27" s="8">
        <v>7.27</v>
      </c>
      <c r="E27" s="12">
        <v>9</v>
      </c>
      <c r="F27" s="8">
        <v>8.82</v>
      </c>
      <c r="G27" s="12">
        <v>3</v>
      </c>
      <c r="H27" s="8">
        <v>4.84</v>
      </c>
      <c r="I27" s="12">
        <v>0</v>
      </c>
    </row>
    <row r="28" spans="2:9" ht="15" customHeight="1" x14ac:dyDescent="0.2">
      <c r="B28" t="s">
        <v>148</v>
      </c>
      <c r="C28" s="12">
        <v>11</v>
      </c>
      <c r="D28" s="8">
        <v>6.67</v>
      </c>
      <c r="E28" s="12">
        <v>0</v>
      </c>
      <c r="F28" s="8">
        <v>0</v>
      </c>
      <c r="G28" s="12">
        <v>11</v>
      </c>
      <c r="H28" s="8">
        <v>17.739999999999998</v>
      </c>
      <c r="I28" s="12">
        <v>0</v>
      </c>
    </row>
    <row r="29" spans="2:9" ht="15" customHeight="1" x14ac:dyDescent="0.2">
      <c r="B29" t="s">
        <v>113</v>
      </c>
      <c r="C29" s="12">
        <v>11</v>
      </c>
      <c r="D29" s="8">
        <v>6.67</v>
      </c>
      <c r="E29" s="12">
        <v>7</v>
      </c>
      <c r="F29" s="8">
        <v>6.86</v>
      </c>
      <c r="G29" s="12">
        <v>4</v>
      </c>
      <c r="H29" s="8">
        <v>6.45</v>
      </c>
      <c r="I29" s="12">
        <v>0</v>
      </c>
    </row>
    <row r="30" spans="2:9" ht="15" customHeight="1" x14ac:dyDescent="0.2">
      <c r="B30" t="s">
        <v>115</v>
      </c>
      <c r="C30" s="12">
        <v>9</v>
      </c>
      <c r="D30" s="8">
        <v>5.45</v>
      </c>
      <c r="E30" s="12">
        <v>9</v>
      </c>
      <c r="F30" s="8">
        <v>8.82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98</v>
      </c>
      <c r="C31" s="12">
        <v>7</v>
      </c>
      <c r="D31" s="8">
        <v>4.24</v>
      </c>
      <c r="E31" s="12">
        <v>3</v>
      </c>
      <c r="F31" s="8">
        <v>2.94</v>
      </c>
      <c r="G31" s="12">
        <v>4</v>
      </c>
      <c r="H31" s="8">
        <v>6.45</v>
      </c>
      <c r="I31" s="12">
        <v>0</v>
      </c>
    </row>
    <row r="32" spans="2:9" ht="15" customHeight="1" x14ac:dyDescent="0.2">
      <c r="B32" t="s">
        <v>100</v>
      </c>
      <c r="C32" s="12">
        <v>7</v>
      </c>
      <c r="D32" s="8">
        <v>4.24</v>
      </c>
      <c r="E32" s="12">
        <v>2</v>
      </c>
      <c r="F32" s="8">
        <v>1.96</v>
      </c>
      <c r="G32" s="12">
        <v>5</v>
      </c>
      <c r="H32" s="8">
        <v>8.06</v>
      </c>
      <c r="I32" s="12">
        <v>0</v>
      </c>
    </row>
    <row r="33" spans="2:9" ht="15" customHeight="1" x14ac:dyDescent="0.2">
      <c r="B33" t="s">
        <v>116</v>
      </c>
      <c r="C33" s="12">
        <v>7</v>
      </c>
      <c r="D33" s="8">
        <v>4.24</v>
      </c>
      <c r="E33" s="12">
        <v>6</v>
      </c>
      <c r="F33" s="8">
        <v>5.88</v>
      </c>
      <c r="G33" s="12">
        <v>1</v>
      </c>
      <c r="H33" s="8">
        <v>1.61</v>
      </c>
      <c r="I33" s="12">
        <v>0</v>
      </c>
    </row>
    <row r="34" spans="2:9" ht="15" customHeight="1" x14ac:dyDescent="0.2">
      <c r="B34" t="s">
        <v>99</v>
      </c>
      <c r="C34" s="12">
        <v>5</v>
      </c>
      <c r="D34" s="8">
        <v>3.03</v>
      </c>
      <c r="E34" s="12">
        <v>4</v>
      </c>
      <c r="F34" s="8">
        <v>3.92</v>
      </c>
      <c r="G34" s="12">
        <v>1</v>
      </c>
      <c r="H34" s="8">
        <v>1.61</v>
      </c>
      <c r="I34" s="12">
        <v>0</v>
      </c>
    </row>
    <row r="35" spans="2:9" ht="15" customHeight="1" x14ac:dyDescent="0.2">
      <c r="B35" t="s">
        <v>107</v>
      </c>
      <c r="C35" s="12">
        <v>4</v>
      </c>
      <c r="D35" s="8">
        <v>2.42</v>
      </c>
      <c r="E35" s="12">
        <v>3</v>
      </c>
      <c r="F35" s="8">
        <v>2.94</v>
      </c>
      <c r="G35" s="12">
        <v>1</v>
      </c>
      <c r="H35" s="8">
        <v>1.61</v>
      </c>
      <c r="I35" s="12">
        <v>0</v>
      </c>
    </row>
    <row r="36" spans="2:9" ht="15" customHeight="1" x14ac:dyDescent="0.2">
      <c r="B36" t="s">
        <v>126</v>
      </c>
      <c r="C36" s="12">
        <v>3</v>
      </c>
      <c r="D36" s="8">
        <v>1.82</v>
      </c>
      <c r="E36" s="12">
        <v>1</v>
      </c>
      <c r="F36" s="8">
        <v>0.98</v>
      </c>
      <c r="G36" s="12">
        <v>2</v>
      </c>
      <c r="H36" s="8">
        <v>3.23</v>
      </c>
      <c r="I36" s="12">
        <v>0</v>
      </c>
    </row>
    <row r="37" spans="2:9" ht="15" customHeight="1" x14ac:dyDescent="0.2">
      <c r="B37" t="s">
        <v>104</v>
      </c>
      <c r="C37" s="12">
        <v>3</v>
      </c>
      <c r="D37" s="8">
        <v>1.82</v>
      </c>
      <c r="E37" s="12">
        <v>0</v>
      </c>
      <c r="F37" s="8">
        <v>0</v>
      </c>
      <c r="G37" s="12">
        <v>3</v>
      </c>
      <c r="H37" s="8">
        <v>4.84</v>
      </c>
      <c r="I37" s="12">
        <v>0</v>
      </c>
    </row>
    <row r="38" spans="2:9" ht="15" customHeight="1" x14ac:dyDescent="0.2">
      <c r="B38" t="s">
        <v>120</v>
      </c>
      <c r="C38" s="12">
        <v>2</v>
      </c>
      <c r="D38" s="8">
        <v>1.21</v>
      </c>
      <c r="E38" s="12">
        <v>1</v>
      </c>
      <c r="F38" s="8">
        <v>0.98</v>
      </c>
      <c r="G38" s="12">
        <v>1</v>
      </c>
      <c r="H38" s="8">
        <v>1.61</v>
      </c>
      <c r="I38" s="12">
        <v>0</v>
      </c>
    </row>
    <row r="39" spans="2:9" ht="15" customHeight="1" x14ac:dyDescent="0.2">
      <c r="B39" t="s">
        <v>101</v>
      </c>
      <c r="C39" s="12">
        <v>2</v>
      </c>
      <c r="D39" s="8">
        <v>1.21</v>
      </c>
      <c r="E39" s="12">
        <v>1</v>
      </c>
      <c r="F39" s="8">
        <v>0.98</v>
      </c>
      <c r="G39" s="12">
        <v>1</v>
      </c>
      <c r="H39" s="8">
        <v>1.61</v>
      </c>
      <c r="I39" s="12">
        <v>0</v>
      </c>
    </row>
    <row r="40" spans="2:9" ht="15" customHeight="1" x14ac:dyDescent="0.2">
      <c r="B40" t="s">
        <v>123</v>
      </c>
      <c r="C40" s="12">
        <v>2</v>
      </c>
      <c r="D40" s="8">
        <v>1.21</v>
      </c>
      <c r="E40" s="12">
        <v>0</v>
      </c>
      <c r="F40" s="8">
        <v>0</v>
      </c>
      <c r="G40" s="12">
        <v>2</v>
      </c>
      <c r="H40" s="8">
        <v>3.23</v>
      </c>
      <c r="I40" s="12">
        <v>0</v>
      </c>
    </row>
    <row r="41" spans="2:9" ht="15" customHeight="1" x14ac:dyDescent="0.2">
      <c r="B41" t="s">
        <v>105</v>
      </c>
      <c r="C41" s="12">
        <v>2</v>
      </c>
      <c r="D41" s="8">
        <v>1.21</v>
      </c>
      <c r="E41" s="12">
        <v>1</v>
      </c>
      <c r="F41" s="8">
        <v>0.98</v>
      </c>
      <c r="G41" s="12">
        <v>1</v>
      </c>
      <c r="H41" s="8">
        <v>1.61</v>
      </c>
      <c r="I41" s="12">
        <v>0</v>
      </c>
    </row>
    <row r="42" spans="2:9" ht="15" customHeight="1" x14ac:dyDescent="0.2">
      <c r="B42" t="s">
        <v>112</v>
      </c>
      <c r="C42" s="12">
        <v>2</v>
      </c>
      <c r="D42" s="8">
        <v>1.21</v>
      </c>
      <c r="E42" s="12">
        <v>1</v>
      </c>
      <c r="F42" s="8">
        <v>0.98</v>
      </c>
      <c r="G42" s="12">
        <v>1</v>
      </c>
      <c r="H42" s="8">
        <v>1.61</v>
      </c>
      <c r="I42" s="12">
        <v>0</v>
      </c>
    </row>
    <row r="43" spans="2:9" ht="15" customHeight="1" x14ac:dyDescent="0.2">
      <c r="B43" t="s">
        <v>130</v>
      </c>
      <c r="C43" s="12">
        <v>2</v>
      </c>
      <c r="D43" s="8">
        <v>1.21</v>
      </c>
      <c r="E43" s="12">
        <v>1</v>
      </c>
      <c r="F43" s="8">
        <v>0.98</v>
      </c>
      <c r="G43" s="12">
        <v>1</v>
      </c>
      <c r="H43" s="8">
        <v>1.61</v>
      </c>
      <c r="I43" s="12">
        <v>0</v>
      </c>
    </row>
    <row r="44" spans="2:9" ht="15" customHeight="1" x14ac:dyDescent="0.2">
      <c r="B44" t="s">
        <v>143</v>
      </c>
      <c r="C44" s="12">
        <v>2</v>
      </c>
      <c r="D44" s="8">
        <v>1.21</v>
      </c>
      <c r="E44" s="12">
        <v>2</v>
      </c>
      <c r="F44" s="8">
        <v>1.96</v>
      </c>
      <c r="G44" s="12">
        <v>0</v>
      </c>
      <c r="H44" s="8">
        <v>0</v>
      </c>
      <c r="I44" s="12">
        <v>0</v>
      </c>
    </row>
    <row r="47" spans="2:9" ht="33" customHeight="1" x14ac:dyDescent="0.2">
      <c r="B47" t="s">
        <v>273</v>
      </c>
      <c r="C47" s="10" t="s">
        <v>91</v>
      </c>
      <c r="D47" s="10" t="s">
        <v>92</v>
      </c>
      <c r="E47" s="10" t="s">
        <v>93</v>
      </c>
      <c r="F47" s="10" t="s">
        <v>94</v>
      </c>
      <c r="G47" s="10" t="s">
        <v>95</v>
      </c>
      <c r="H47" s="10" t="s">
        <v>96</v>
      </c>
      <c r="I47" s="10" t="s">
        <v>97</v>
      </c>
    </row>
    <row r="48" spans="2:9" ht="15" customHeight="1" x14ac:dyDescent="0.2">
      <c r="B48" t="s">
        <v>161</v>
      </c>
      <c r="C48" s="12">
        <v>12</v>
      </c>
      <c r="D48" s="8">
        <v>7.27</v>
      </c>
      <c r="E48" s="12">
        <v>12</v>
      </c>
      <c r="F48" s="8">
        <v>11.76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253</v>
      </c>
      <c r="C49" s="12">
        <v>11</v>
      </c>
      <c r="D49" s="8">
        <v>6.67</v>
      </c>
      <c r="E49" s="12">
        <v>0</v>
      </c>
      <c r="F49" s="8">
        <v>0</v>
      </c>
      <c r="G49" s="12">
        <v>11</v>
      </c>
      <c r="H49" s="8">
        <v>17.739999999999998</v>
      </c>
      <c r="I49" s="12">
        <v>0</v>
      </c>
    </row>
    <row r="50" spans="2:9" ht="15" customHeight="1" x14ac:dyDescent="0.2">
      <c r="B50" t="s">
        <v>169</v>
      </c>
      <c r="C50" s="12">
        <v>10</v>
      </c>
      <c r="D50" s="8">
        <v>6.06</v>
      </c>
      <c r="E50" s="12">
        <v>10</v>
      </c>
      <c r="F50" s="8">
        <v>9.8000000000000007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171</v>
      </c>
      <c r="C51" s="12">
        <v>7</v>
      </c>
      <c r="D51" s="8">
        <v>4.24</v>
      </c>
      <c r="E51" s="12">
        <v>6</v>
      </c>
      <c r="F51" s="8">
        <v>5.88</v>
      </c>
      <c r="G51" s="12">
        <v>1</v>
      </c>
      <c r="H51" s="8">
        <v>1.61</v>
      </c>
      <c r="I51" s="12">
        <v>0</v>
      </c>
    </row>
    <row r="52" spans="2:9" ht="15" customHeight="1" x14ac:dyDescent="0.2">
      <c r="B52" t="s">
        <v>170</v>
      </c>
      <c r="C52" s="12">
        <v>6</v>
      </c>
      <c r="D52" s="8">
        <v>3.64</v>
      </c>
      <c r="E52" s="12">
        <v>6</v>
      </c>
      <c r="F52" s="8">
        <v>5.88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160</v>
      </c>
      <c r="C53" s="12">
        <v>5</v>
      </c>
      <c r="D53" s="8">
        <v>3.03</v>
      </c>
      <c r="E53" s="12">
        <v>4</v>
      </c>
      <c r="F53" s="8">
        <v>3.92</v>
      </c>
      <c r="G53" s="12">
        <v>1</v>
      </c>
      <c r="H53" s="8">
        <v>1.61</v>
      </c>
      <c r="I53" s="12">
        <v>0</v>
      </c>
    </row>
    <row r="54" spans="2:9" ht="15" customHeight="1" x14ac:dyDescent="0.2">
      <c r="B54" t="s">
        <v>168</v>
      </c>
      <c r="C54" s="12">
        <v>5</v>
      </c>
      <c r="D54" s="8">
        <v>3.03</v>
      </c>
      <c r="E54" s="12">
        <v>5</v>
      </c>
      <c r="F54" s="8">
        <v>4.9000000000000004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152</v>
      </c>
      <c r="C55" s="12">
        <v>4</v>
      </c>
      <c r="D55" s="8">
        <v>2.42</v>
      </c>
      <c r="E55" s="12">
        <v>3</v>
      </c>
      <c r="F55" s="8">
        <v>2.94</v>
      </c>
      <c r="G55" s="12">
        <v>1</v>
      </c>
      <c r="H55" s="8">
        <v>1.61</v>
      </c>
      <c r="I55" s="12">
        <v>0</v>
      </c>
    </row>
    <row r="56" spans="2:9" ht="15" customHeight="1" x14ac:dyDescent="0.2">
      <c r="B56" t="s">
        <v>181</v>
      </c>
      <c r="C56" s="12">
        <v>4</v>
      </c>
      <c r="D56" s="8">
        <v>2.42</v>
      </c>
      <c r="E56" s="12">
        <v>2</v>
      </c>
      <c r="F56" s="8">
        <v>1.96</v>
      </c>
      <c r="G56" s="12">
        <v>2</v>
      </c>
      <c r="H56" s="8">
        <v>3.23</v>
      </c>
      <c r="I56" s="12">
        <v>0</v>
      </c>
    </row>
    <row r="57" spans="2:9" ht="15" customHeight="1" x14ac:dyDescent="0.2">
      <c r="B57" t="s">
        <v>176</v>
      </c>
      <c r="C57" s="12">
        <v>4</v>
      </c>
      <c r="D57" s="8">
        <v>2.42</v>
      </c>
      <c r="E57" s="12">
        <v>2</v>
      </c>
      <c r="F57" s="8">
        <v>1.96</v>
      </c>
      <c r="G57" s="12">
        <v>2</v>
      </c>
      <c r="H57" s="8">
        <v>3.23</v>
      </c>
      <c r="I57" s="12">
        <v>0</v>
      </c>
    </row>
    <row r="58" spans="2:9" ht="15" customHeight="1" x14ac:dyDescent="0.2">
      <c r="B58" t="s">
        <v>256</v>
      </c>
      <c r="C58" s="12">
        <v>4</v>
      </c>
      <c r="D58" s="8">
        <v>2.42</v>
      </c>
      <c r="E58" s="12">
        <v>1</v>
      </c>
      <c r="F58" s="8">
        <v>0.98</v>
      </c>
      <c r="G58" s="12">
        <v>3</v>
      </c>
      <c r="H58" s="8">
        <v>4.84</v>
      </c>
      <c r="I58" s="12">
        <v>0</v>
      </c>
    </row>
    <row r="59" spans="2:9" ht="15" customHeight="1" x14ac:dyDescent="0.2">
      <c r="B59" t="s">
        <v>167</v>
      </c>
      <c r="C59" s="12">
        <v>4</v>
      </c>
      <c r="D59" s="8">
        <v>2.42</v>
      </c>
      <c r="E59" s="12">
        <v>2</v>
      </c>
      <c r="F59" s="8">
        <v>1.96</v>
      </c>
      <c r="G59" s="12">
        <v>2</v>
      </c>
      <c r="H59" s="8">
        <v>3.23</v>
      </c>
      <c r="I59" s="12">
        <v>0</v>
      </c>
    </row>
    <row r="60" spans="2:9" ht="15" customHeight="1" x14ac:dyDescent="0.2">
      <c r="B60" t="s">
        <v>215</v>
      </c>
      <c r="C60" s="12">
        <v>3</v>
      </c>
      <c r="D60" s="8">
        <v>1.82</v>
      </c>
      <c r="E60" s="12">
        <v>2</v>
      </c>
      <c r="F60" s="8">
        <v>1.96</v>
      </c>
      <c r="G60" s="12">
        <v>1</v>
      </c>
      <c r="H60" s="8">
        <v>1.61</v>
      </c>
      <c r="I60" s="12">
        <v>0</v>
      </c>
    </row>
    <row r="61" spans="2:9" ht="15" customHeight="1" x14ac:dyDescent="0.2">
      <c r="B61" t="s">
        <v>245</v>
      </c>
      <c r="C61" s="12">
        <v>3</v>
      </c>
      <c r="D61" s="8">
        <v>1.82</v>
      </c>
      <c r="E61" s="12">
        <v>3</v>
      </c>
      <c r="F61" s="8">
        <v>2.94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157</v>
      </c>
      <c r="C62" s="12">
        <v>3</v>
      </c>
      <c r="D62" s="8">
        <v>1.82</v>
      </c>
      <c r="E62" s="12">
        <v>2</v>
      </c>
      <c r="F62" s="8">
        <v>1.96</v>
      </c>
      <c r="G62" s="12">
        <v>1</v>
      </c>
      <c r="H62" s="8">
        <v>1.61</v>
      </c>
      <c r="I62" s="12">
        <v>0</v>
      </c>
    </row>
    <row r="63" spans="2:9" ht="15" customHeight="1" x14ac:dyDescent="0.2">
      <c r="B63" t="s">
        <v>199</v>
      </c>
      <c r="C63" s="12">
        <v>3</v>
      </c>
      <c r="D63" s="8">
        <v>1.82</v>
      </c>
      <c r="E63" s="12">
        <v>3</v>
      </c>
      <c r="F63" s="8">
        <v>2.94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190</v>
      </c>
      <c r="C64" s="12">
        <v>2</v>
      </c>
      <c r="D64" s="8">
        <v>1.21</v>
      </c>
      <c r="E64" s="12">
        <v>0</v>
      </c>
      <c r="F64" s="8">
        <v>0</v>
      </c>
      <c r="G64" s="12">
        <v>2</v>
      </c>
      <c r="H64" s="8">
        <v>3.23</v>
      </c>
      <c r="I64" s="12">
        <v>0</v>
      </c>
    </row>
    <row r="65" spans="2:9" ht="15" customHeight="1" x14ac:dyDescent="0.2">
      <c r="B65" t="s">
        <v>191</v>
      </c>
      <c r="C65" s="12">
        <v>2</v>
      </c>
      <c r="D65" s="8">
        <v>1.21</v>
      </c>
      <c r="E65" s="12">
        <v>1</v>
      </c>
      <c r="F65" s="8">
        <v>0.98</v>
      </c>
      <c r="G65" s="12">
        <v>1</v>
      </c>
      <c r="H65" s="8">
        <v>1.61</v>
      </c>
      <c r="I65" s="12">
        <v>0</v>
      </c>
    </row>
    <row r="66" spans="2:9" ht="15" customHeight="1" x14ac:dyDescent="0.2">
      <c r="B66" t="s">
        <v>153</v>
      </c>
      <c r="C66" s="12">
        <v>2</v>
      </c>
      <c r="D66" s="8">
        <v>1.21</v>
      </c>
      <c r="E66" s="12">
        <v>2</v>
      </c>
      <c r="F66" s="8">
        <v>1.96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252</v>
      </c>
      <c r="C67" s="12">
        <v>2</v>
      </c>
      <c r="D67" s="8">
        <v>1.21</v>
      </c>
      <c r="E67" s="12">
        <v>0</v>
      </c>
      <c r="F67" s="8">
        <v>0</v>
      </c>
      <c r="G67" s="12">
        <v>2</v>
      </c>
      <c r="H67" s="8">
        <v>3.23</v>
      </c>
      <c r="I67" s="12">
        <v>0</v>
      </c>
    </row>
    <row r="68" spans="2:9" ht="15" customHeight="1" x14ac:dyDescent="0.2">
      <c r="B68" t="s">
        <v>174</v>
      </c>
      <c r="C68" s="12">
        <v>2</v>
      </c>
      <c r="D68" s="8">
        <v>1.21</v>
      </c>
      <c r="E68" s="12">
        <v>0</v>
      </c>
      <c r="F68" s="8">
        <v>0</v>
      </c>
      <c r="G68" s="12">
        <v>2</v>
      </c>
      <c r="H68" s="8">
        <v>3.23</v>
      </c>
      <c r="I68" s="12">
        <v>0</v>
      </c>
    </row>
    <row r="69" spans="2:9" ht="15" customHeight="1" x14ac:dyDescent="0.2">
      <c r="B69" t="s">
        <v>229</v>
      </c>
      <c r="C69" s="12">
        <v>2</v>
      </c>
      <c r="D69" s="8">
        <v>1.21</v>
      </c>
      <c r="E69" s="12">
        <v>1</v>
      </c>
      <c r="F69" s="8">
        <v>0.98</v>
      </c>
      <c r="G69" s="12">
        <v>1</v>
      </c>
      <c r="H69" s="8">
        <v>1.61</v>
      </c>
      <c r="I69" s="12">
        <v>0</v>
      </c>
    </row>
    <row r="70" spans="2:9" ht="15" customHeight="1" x14ac:dyDescent="0.2">
      <c r="B70" t="s">
        <v>203</v>
      </c>
      <c r="C70" s="12">
        <v>2</v>
      </c>
      <c r="D70" s="8">
        <v>1.21</v>
      </c>
      <c r="E70" s="12">
        <v>0</v>
      </c>
      <c r="F70" s="8">
        <v>0</v>
      </c>
      <c r="G70" s="12">
        <v>2</v>
      </c>
      <c r="H70" s="8">
        <v>3.23</v>
      </c>
      <c r="I70" s="12">
        <v>0</v>
      </c>
    </row>
    <row r="71" spans="2:9" ht="15" customHeight="1" x14ac:dyDescent="0.2">
      <c r="B71" t="s">
        <v>154</v>
      </c>
      <c r="C71" s="12">
        <v>2</v>
      </c>
      <c r="D71" s="8">
        <v>1.21</v>
      </c>
      <c r="E71" s="12">
        <v>0</v>
      </c>
      <c r="F71" s="8">
        <v>0</v>
      </c>
      <c r="G71" s="12">
        <v>2</v>
      </c>
      <c r="H71" s="8">
        <v>3.23</v>
      </c>
      <c r="I71" s="12">
        <v>0</v>
      </c>
    </row>
    <row r="72" spans="2:9" ht="15" customHeight="1" x14ac:dyDescent="0.2">
      <c r="B72" t="s">
        <v>254</v>
      </c>
      <c r="C72" s="12">
        <v>2</v>
      </c>
      <c r="D72" s="8">
        <v>1.21</v>
      </c>
      <c r="E72" s="12">
        <v>2</v>
      </c>
      <c r="F72" s="8">
        <v>1.96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156</v>
      </c>
      <c r="C73" s="12">
        <v>2</v>
      </c>
      <c r="D73" s="8">
        <v>1.21</v>
      </c>
      <c r="E73" s="12">
        <v>2</v>
      </c>
      <c r="F73" s="8">
        <v>1.96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255</v>
      </c>
      <c r="C74" s="12">
        <v>2</v>
      </c>
      <c r="D74" s="8">
        <v>1.21</v>
      </c>
      <c r="E74" s="12">
        <v>1</v>
      </c>
      <c r="F74" s="8">
        <v>0.98</v>
      </c>
      <c r="G74" s="12">
        <v>1</v>
      </c>
      <c r="H74" s="8">
        <v>1.61</v>
      </c>
      <c r="I74" s="12">
        <v>0</v>
      </c>
    </row>
    <row r="75" spans="2:9" ht="15" customHeight="1" x14ac:dyDescent="0.2">
      <c r="B75" t="s">
        <v>159</v>
      </c>
      <c r="C75" s="12">
        <v>2</v>
      </c>
      <c r="D75" s="8">
        <v>1.21</v>
      </c>
      <c r="E75" s="12">
        <v>2</v>
      </c>
      <c r="F75" s="8">
        <v>1.96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164</v>
      </c>
      <c r="C76" s="12">
        <v>2</v>
      </c>
      <c r="D76" s="8">
        <v>1.21</v>
      </c>
      <c r="E76" s="12">
        <v>2</v>
      </c>
      <c r="F76" s="8">
        <v>1.96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165</v>
      </c>
      <c r="C77" s="12">
        <v>2</v>
      </c>
      <c r="D77" s="8">
        <v>1.21</v>
      </c>
      <c r="E77" s="12">
        <v>1</v>
      </c>
      <c r="F77" s="8">
        <v>0.98</v>
      </c>
      <c r="G77" s="12">
        <v>1</v>
      </c>
      <c r="H77" s="8">
        <v>1.61</v>
      </c>
      <c r="I77" s="12">
        <v>0</v>
      </c>
    </row>
    <row r="78" spans="2:9" ht="15" customHeight="1" x14ac:dyDescent="0.2">
      <c r="B78" t="s">
        <v>196</v>
      </c>
      <c r="C78" s="12">
        <v>2</v>
      </c>
      <c r="D78" s="8">
        <v>1.21</v>
      </c>
      <c r="E78" s="12">
        <v>2</v>
      </c>
      <c r="F78" s="8">
        <v>1.96</v>
      </c>
      <c r="G78" s="12">
        <v>0</v>
      </c>
      <c r="H78" s="8">
        <v>0</v>
      </c>
      <c r="I78" s="12">
        <v>0</v>
      </c>
    </row>
    <row r="80" spans="2:9" ht="15" customHeight="1" x14ac:dyDescent="0.2">
      <c r="B80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0476A-F43D-44BC-B116-FEB9F72715B6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345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37</v>
      </c>
      <c r="D6" s="8">
        <v>15.61</v>
      </c>
      <c r="E6" s="12">
        <v>9</v>
      </c>
      <c r="F6" s="8">
        <v>6.43</v>
      </c>
      <c r="G6" s="12">
        <v>28</v>
      </c>
      <c r="H6" s="8">
        <v>30.11</v>
      </c>
      <c r="I6" s="12">
        <v>0</v>
      </c>
    </row>
    <row r="7" spans="2:9" ht="15" customHeight="1" x14ac:dyDescent="0.2">
      <c r="B7" t="s">
        <v>77</v>
      </c>
      <c r="C7" s="12">
        <v>17</v>
      </c>
      <c r="D7" s="8">
        <v>7.17</v>
      </c>
      <c r="E7" s="12">
        <v>9</v>
      </c>
      <c r="F7" s="8">
        <v>6.43</v>
      </c>
      <c r="G7" s="12">
        <v>8</v>
      </c>
      <c r="H7" s="8">
        <v>8.6</v>
      </c>
      <c r="I7" s="12">
        <v>0</v>
      </c>
    </row>
    <row r="8" spans="2:9" ht="15" customHeight="1" x14ac:dyDescent="0.2">
      <c r="B8" t="s">
        <v>78</v>
      </c>
      <c r="C8" s="12">
        <v>1</v>
      </c>
      <c r="D8" s="8">
        <v>0.42</v>
      </c>
      <c r="E8" s="12">
        <v>0</v>
      </c>
      <c r="F8" s="8">
        <v>0</v>
      </c>
      <c r="G8" s="12">
        <v>1</v>
      </c>
      <c r="H8" s="8">
        <v>1.08</v>
      </c>
      <c r="I8" s="12">
        <v>0</v>
      </c>
    </row>
    <row r="9" spans="2:9" ht="15" customHeight="1" x14ac:dyDescent="0.2">
      <c r="B9" t="s">
        <v>79</v>
      </c>
      <c r="C9" s="12">
        <v>1</v>
      </c>
      <c r="D9" s="8">
        <v>0.42</v>
      </c>
      <c r="E9" s="12">
        <v>0</v>
      </c>
      <c r="F9" s="8">
        <v>0</v>
      </c>
      <c r="G9" s="12">
        <v>1</v>
      </c>
      <c r="H9" s="8">
        <v>1.08</v>
      </c>
      <c r="I9" s="12">
        <v>0</v>
      </c>
    </row>
    <row r="10" spans="2:9" ht="15" customHeight="1" x14ac:dyDescent="0.2">
      <c r="B10" t="s">
        <v>80</v>
      </c>
      <c r="C10" s="12">
        <v>1</v>
      </c>
      <c r="D10" s="8">
        <v>0.42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81</v>
      </c>
      <c r="C11" s="12">
        <v>72</v>
      </c>
      <c r="D11" s="8">
        <v>30.38</v>
      </c>
      <c r="E11" s="12">
        <v>43</v>
      </c>
      <c r="F11" s="8">
        <v>30.71</v>
      </c>
      <c r="G11" s="12">
        <v>29</v>
      </c>
      <c r="H11" s="8">
        <v>31.18</v>
      </c>
      <c r="I11" s="12">
        <v>0</v>
      </c>
    </row>
    <row r="12" spans="2:9" ht="15" customHeight="1" x14ac:dyDescent="0.2">
      <c r="B12" t="s">
        <v>82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83</v>
      </c>
      <c r="C13" s="12">
        <v>17</v>
      </c>
      <c r="D13" s="8">
        <v>7.17</v>
      </c>
      <c r="E13" s="12">
        <v>11</v>
      </c>
      <c r="F13" s="8">
        <v>7.86</v>
      </c>
      <c r="G13" s="12">
        <v>6</v>
      </c>
      <c r="H13" s="8">
        <v>6.45</v>
      </c>
      <c r="I13" s="12">
        <v>0</v>
      </c>
    </row>
    <row r="14" spans="2:9" ht="15" customHeight="1" x14ac:dyDescent="0.2">
      <c r="B14" t="s">
        <v>84</v>
      </c>
      <c r="C14" s="12">
        <v>9</v>
      </c>
      <c r="D14" s="8">
        <v>3.8</v>
      </c>
      <c r="E14" s="12">
        <v>2</v>
      </c>
      <c r="F14" s="8">
        <v>1.43</v>
      </c>
      <c r="G14" s="12">
        <v>7</v>
      </c>
      <c r="H14" s="8">
        <v>7.53</v>
      </c>
      <c r="I14" s="12">
        <v>0</v>
      </c>
    </row>
    <row r="15" spans="2:9" ht="15" customHeight="1" x14ac:dyDescent="0.2">
      <c r="B15" t="s">
        <v>85</v>
      </c>
      <c r="C15" s="12">
        <v>28</v>
      </c>
      <c r="D15" s="8">
        <v>11.81</v>
      </c>
      <c r="E15" s="12">
        <v>27</v>
      </c>
      <c r="F15" s="8">
        <v>19.29</v>
      </c>
      <c r="G15" s="12">
        <v>1</v>
      </c>
      <c r="H15" s="8">
        <v>1.08</v>
      </c>
      <c r="I15" s="12">
        <v>0</v>
      </c>
    </row>
    <row r="16" spans="2:9" ht="15" customHeight="1" x14ac:dyDescent="0.2">
      <c r="B16" t="s">
        <v>86</v>
      </c>
      <c r="C16" s="12">
        <v>26</v>
      </c>
      <c r="D16" s="8">
        <v>10.97</v>
      </c>
      <c r="E16" s="12">
        <v>20</v>
      </c>
      <c r="F16" s="8">
        <v>14.29</v>
      </c>
      <c r="G16" s="12">
        <v>4</v>
      </c>
      <c r="H16" s="8">
        <v>4.3</v>
      </c>
      <c r="I16" s="12">
        <v>0</v>
      </c>
    </row>
    <row r="17" spans="2:9" ht="15" customHeight="1" x14ac:dyDescent="0.2">
      <c r="B17" t="s">
        <v>87</v>
      </c>
      <c r="C17" s="12">
        <v>7</v>
      </c>
      <c r="D17" s="8">
        <v>2.95</v>
      </c>
      <c r="E17" s="12">
        <v>6</v>
      </c>
      <c r="F17" s="8">
        <v>4.29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88</v>
      </c>
      <c r="C18" s="12">
        <v>11</v>
      </c>
      <c r="D18" s="8">
        <v>4.6399999999999997</v>
      </c>
      <c r="E18" s="12">
        <v>7</v>
      </c>
      <c r="F18" s="8">
        <v>5</v>
      </c>
      <c r="G18" s="12">
        <v>4</v>
      </c>
      <c r="H18" s="8">
        <v>4.3</v>
      </c>
      <c r="I18" s="12">
        <v>0</v>
      </c>
    </row>
    <row r="19" spans="2:9" ht="15" customHeight="1" x14ac:dyDescent="0.2">
      <c r="B19" t="s">
        <v>89</v>
      </c>
      <c r="C19" s="12">
        <v>10</v>
      </c>
      <c r="D19" s="8">
        <v>4.22</v>
      </c>
      <c r="E19" s="12">
        <v>6</v>
      </c>
      <c r="F19" s="8">
        <v>4.29</v>
      </c>
      <c r="G19" s="12">
        <v>4</v>
      </c>
      <c r="H19" s="8">
        <v>4.3</v>
      </c>
      <c r="I19" s="12">
        <v>0</v>
      </c>
    </row>
    <row r="20" spans="2:9" ht="15" customHeight="1" x14ac:dyDescent="0.2">
      <c r="B20" s="9" t="s">
        <v>271</v>
      </c>
      <c r="C20" s="12">
        <f>SUM(LTBL_27366[総数／事業所数])</f>
        <v>237</v>
      </c>
      <c r="E20" s="12">
        <f>SUBTOTAL(109,LTBL_27366[個人／事業所数])</f>
        <v>140</v>
      </c>
      <c r="G20" s="12">
        <f>SUBTOTAL(109,LTBL_27366[法人／事業所数])</f>
        <v>93</v>
      </c>
      <c r="I20" s="12">
        <f>SUBTOTAL(109,LTBL_27366[法人以外の団体／事業所数])</f>
        <v>0</v>
      </c>
    </row>
    <row r="21" spans="2:9" ht="15" customHeight="1" x14ac:dyDescent="0.2">
      <c r="E21" s="11">
        <f>LTBL_27366[[#Totals],[個人／事業所数]]/LTBL_27366[[#Totals],[総数／事業所数]]</f>
        <v>0.59071729957805907</v>
      </c>
      <c r="G21" s="11">
        <f>LTBL_27366[[#Totals],[法人／事業所数]]/LTBL_27366[[#Totals],[総数／事業所数]]</f>
        <v>0.39240506329113922</v>
      </c>
      <c r="I21" s="11">
        <f>LTBL_27366[[#Totals],[法人以外の団体／事業所数]]/LTBL_27366[[#Totals],[総数／事業所数]]</f>
        <v>0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98</v>
      </c>
      <c r="C24" s="12">
        <v>23</v>
      </c>
      <c r="D24" s="8">
        <v>9.6999999999999993</v>
      </c>
      <c r="E24" s="12">
        <v>8</v>
      </c>
      <c r="F24" s="8">
        <v>5.71</v>
      </c>
      <c r="G24" s="12">
        <v>15</v>
      </c>
      <c r="H24" s="8">
        <v>16.13</v>
      </c>
      <c r="I24" s="12">
        <v>0</v>
      </c>
    </row>
    <row r="25" spans="2:9" ht="15" customHeight="1" x14ac:dyDescent="0.2">
      <c r="B25" t="s">
        <v>108</v>
      </c>
      <c r="C25" s="12">
        <v>23</v>
      </c>
      <c r="D25" s="8">
        <v>9.6999999999999993</v>
      </c>
      <c r="E25" s="12">
        <v>15</v>
      </c>
      <c r="F25" s="8">
        <v>10.71</v>
      </c>
      <c r="G25" s="12">
        <v>8</v>
      </c>
      <c r="H25" s="8">
        <v>8.6</v>
      </c>
      <c r="I25" s="12">
        <v>0</v>
      </c>
    </row>
    <row r="26" spans="2:9" ht="15" customHeight="1" x14ac:dyDescent="0.2">
      <c r="B26" t="s">
        <v>113</v>
      </c>
      <c r="C26" s="12">
        <v>23</v>
      </c>
      <c r="D26" s="8">
        <v>9.6999999999999993</v>
      </c>
      <c r="E26" s="12">
        <v>23</v>
      </c>
      <c r="F26" s="8">
        <v>16.43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106</v>
      </c>
      <c r="C27" s="12">
        <v>22</v>
      </c>
      <c r="D27" s="8">
        <v>9.2799999999999994</v>
      </c>
      <c r="E27" s="12">
        <v>17</v>
      </c>
      <c r="F27" s="8">
        <v>12.14</v>
      </c>
      <c r="G27" s="12">
        <v>5</v>
      </c>
      <c r="H27" s="8">
        <v>5.38</v>
      </c>
      <c r="I27" s="12">
        <v>0</v>
      </c>
    </row>
    <row r="28" spans="2:9" ht="15" customHeight="1" x14ac:dyDescent="0.2">
      <c r="B28" t="s">
        <v>110</v>
      </c>
      <c r="C28" s="12">
        <v>16</v>
      </c>
      <c r="D28" s="8">
        <v>6.75</v>
      </c>
      <c r="E28" s="12">
        <v>11</v>
      </c>
      <c r="F28" s="8">
        <v>7.86</v>
      </c>
      <c r="G28" s="12">
        <v>5</v>
      </c>
      <c r="H28" s="8">
        <v>5.38</v>
      </c>
      <c r="I28" s="12">
        <v>0</v>
      </c>
    </row>
    <row r="29" spans="2:9" ht="15" customHeight="1" x14ac:dyDescent="0.2">
      <c r="B29" t="s">
        <v>114</v>
      </c>
      <c r="C29" s="12">
        <v>15</v>
      </c>
      <c r="D29" s="8">
        <v>6.33</v>
      </c>
      <c r="E29" s="12">
        <v>14</v>
      </c>
      <c r="F29" s="8">
        <v>10</v>
      </c>
      <c r="G29" s="12">
        <v>1</v>
      </c>
      <c r="H29" s="8">
        <v>1.08</v>
      </c>
      <c r="I29" s="12">
        <v>0</v>
      </c>
    </row>
    <row r="30" spans="2:9" ht="15" customHeight="1" x14ac:dyDescent="0.2">
      <c r="B30" t="s">
        <v>100</v>
      </c>
      <c r="C30" s="12">
        <v>10</v>
      </c>
      <c r="D30" s="8">
        <v>4.22</v>
      </c>
      <c r="E30" s="12">
        <v>0</v>
      </c>
      <c r="F30" s="8">
        <v>0</v>
      </c>
      <c r="G30" s="12">
        <v>10</v>
      </c>
      <c r="H30" s="8">
        <v>10.75</v>
      </c>
      <c r="I30" s="12">
        <v>0</v>
      </c>
    </row>
    <row r="31" spans="2:9" ht="15" customHeight="1" x14ac:dyDescent="0.2">
      <c r="B31" t="s">
        <v>116</v>
      </c>
      <c r="C31" s="12">
        <v>9</v>
      </c>
      <c r="D31" s="8">
        <v>3.8</v>
      </c>
      <c r="E31" s="12">
        <v>7</v>
      </c>
      <c r="F31" s="8">
        <v>5</v>
      </c>
      <c r="G31" s="12">
        <v>2</v>
      </c>
      <c r="H31" s="8">
        <v>2.15</v>
      </c>
      <c r="I31" s="12">
        <v>0</v>
      </c>
    </row>
    <row r="32" spans="2:9" ht="15" customHeight="1" x14ac:dyDescent="0.2">
      <c r="B32" t="s">
        <v>107</v>
      </c>
      <c r="C32" s="12">
        <v>8</v>
      </c>
      <c r="D32" s="8">
        <v>3.38</v>
      </c>
      <c r="E32" s="12">
        <v>6</v>
      </c>
      <c r="F32" s="8">
        <v>4.29</v>
      </c>
      <c r="G32" s="12">
        <v>2</v>
      </c>
      <c r="H32" s="8">
        <v>2.15</v>
      </c>
      <c r="I32" s="12">
        <v>0</v>
      </c>
    </row>
    <row r="33" spans="2:9" ht="15" customHeight="1" x14ac:dyDescent="0.2">
      <c r="B33" t="s">
        <v>112</v>
      </c>
      <c r="C33" s="12">
        <v>7</v>
      </c>
      <c r="D33" s="8">
        <v>2.95</v>
      </c>
      <c r="E33" s="12">
        <v>2</v>
      </c>
      <c r="F33" s="8">
        <v>1.43</v>
      </c>
      <c r="G33" s="12">
        <v>5</v>
      </c>
      <c r="H33" s="8">
        <v>5.38</v>
      </c>
      <c r="I33" s="12">
        <v>0</v>
      </c>
    </row>
    <row r="34" spans="2:9" ht="15" customHeight="1" x14ac:dyDescent="0.2">
      <c r="B34" t="s">
        <v>145</v>
      </c>
      <c r="C34" s="12">
        <v>7</v>
      </c>
      <c r="D34" s="8">
        <v>2.95</v>
      </c>
      <c r="E34" s="12">
        <v>3</v>
      </c>
      <c r="F34" s="8">
        <v>2.14</v>
      </c>
      <c r="G34" s="12">
        <v>2</v>
      </c>
      <c r="H34" s="8">
        <v>2.15</v>
      </c>
      <c r="I34" s="12">
        <v>0</v>
      </c>
    </row>
    <row r="35" spans="2:9" ht="15" customHeight="1" x14ac:dyDescent="0.2">
      <c r="B35" t="s">
        <v>115</v>
      </c>
      <c r="C35" s="12">
        <v>7</v>
      </c>
      <c r="D35" s="8">
        <v>2.95</v>
      </c>
      <c r="E35" s="12">
        <v>6</v>
      </c>
      <c r="F35" s="8">
        <v>4.29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103</v>
      </c>
      <c r="C36" s="12">
        <v>5</v>
      </c>
      <c r="D36" s="8">
        <v>2.11</v>
      </c>
      <c r="E36" s="12">
        <v>1</v>
      </c>
      <c r="F36" s="8">
        <v>0.71</v>
      </c>
      <c r="G36" s="12">
        <v>4</v>
      </c>
      <c r="H36" s="8">
        <v>4.3</v>
      </c>
      <c r="I36" s="12">
        <v>0</v>
      </c>
    </row>
    <row r="37" spans="2:9" ht="15" customHeight="1" x14ac:dyDescent="0.2">
      <c r="B37" t="s">
        <v>137</v>
      </c>
      <c r="C37" s="12">
        <v>5</v>
      </c>
      <c r="D37" s="8">
        <v>2.11</v>
      </c>
      <c r="E37" s="12">
        <v>4</v>
      </c>
      <c r="F37" s="8">
        <v>2.86</v>
      </c>
      <c r="G37" s="12">
        <v>1</v>
      </c>
      <c r="H37" s="8">
        <v>1.08</v>
      </c>
      <c r="I37" s="12">
        <v>0</v>
      </c>
    </row>
    <row r="38" spans="2:9" ht="15" customHeight="1" x14ac:dyDescent="0.2">
      <c r="B38" t="s">
        <v>129</v>
      </c>
      <c r="C38" s="12">
        <v>5</v>
      </c>
      <c r="D38" s="8">
        <v>2.11</v>
      </c>
      <c r="E38" s="12">
        <v>4</v>
      </c>
      <c r="F38" s="8">
        <v>2.86</v>
      </c>
      <c r="G38" s="12">
        <v>1</v>
      </c>
      <c r="H38" s="8">
        <v>1.08</v>
      </c>
      <c r="I38" s="12">
        <v>0</v>
      </c>
    </row>
    <row r="39" spans="2:9" ht="15" customHeight="1" x14ac:dyDescent="0.2">
      <c r="B39" t="s">
        <v>99</v>
      </c>
      <c r="C39" s="12">
        <v>4</v>
      </c>
      <c r="D39" s="8">
        <v>1.69</v>
      </c>
      <c r="E39" s="12">
        <v>1</v>
      </c>
      <c r="F39" s="8">
        <v>0.71</v>
      </c>
      <c r="G39" s="12">
        <v>3</v>
      </c>
      <c r="H39" s="8">
        <v>3.23</v>
      </c>
      <c r="I39" s="12">
        <v>0</v>
      </c>
    </row>
    <row r="40" spans="2:9" ht="15" customHeight="1" x14ac:dyDescent="0.2">
      <c r="B40" t="s">
        <v>120</v>
      </c>
      <c r="C40" s="12">
        <v>4</v>
      </c>
      <c r="D40" s="8">
        <v>1.69</v>
      </c>
      <c r="E40" s="12">
        <v>3</v>
      </c>
      <c r="F40" s="8">
        <v>2.14</v>
      </c>
      <c r="G40" s="12">
        <v>1</v>
      </c>
      <c r="H40" s="8">
        <v>1.08</v>
      </c>
      <c r="I40" s="12">
        <v>0</v>
      </c>
    </row>
    <row r="41" spans="2:9" ht="15" customHeight="1" x14ac:dyDescent="0.2">
      <c r="B41" t="s">
        <v>130</v>
      </c>
      <c r="C41" s="12">
        <v>4</v>
      </c>
      <c r="D41" s="8">
        <v>1.69</v>
      </c>
      <c r="E41" s="12">
        <v>3</v>
      </c>
      <c r="F41" s="8">
        <v>2.14</v>
      </c>
      <c r="G41" s="12">
        <v>1</v>
      </c>
      <c r="H41" s="8">
        <v>1.08</v>
      </c>
      <c r="I41" s="12">
        <v>0</v>
      </c>
    </row>
    <row r="42" spans="2:9" ht="15" customHeight="1" x14ac:dyDescent="0.2">
      <c r="B42" t="s">
        <v>101</v>
      </c>
      <c r="C42" s="12">
        <v>3</v>
      </c>
      <c r="D42" s="8">
        <v>1.27</v>
      </c>
      <c r="E42" s="12">
        <v>1</v>
      </c>
      <c r="F42" s="8">
        <v>0.71</v>
      </c>
      <c r="G42" s="12">
        <v>2</v>
      </c>
      <c r="H42" s="8">
        <v>2.15</v>
      </c>
      <c r="I42" s="12">
        <v>0</v>
      </c>
    </row>
    <row r="43" spans="2:9" ht="15" customHeight="1" x14ac:dyDescent="0.2">
      <c r="B43" t="s">
        <v>122</v>
      </c>
      <c r="C43" s="12">
        <v>3</v>
      </c>
      <c r="D43" s="8">
        <v>1.27</v>
      </c>
      <c r="E43" s="12">
        <v>0</v>
      </c>
      <c r="F43" s="8">
        <v>0</v>
      </c>
      <c r="G43" s="12">
        <v>3</v>
      </c>
      <c r="H43" s="8">
        <v>3.23</v>
      </c>
      <c r="I43" s="12">
        <v>0</v>
      </c>
    </row>
    <row r="44" spans="2:9" ht="15" customHeight="1" x14ac:dyDescent="0.2">
      <c r="B44" t="s">
        <v>102</v>
      </c>
      <c r="C44" s="12">
        <v>3</v>
      </c>
      <c r="D44" s="8">
        <v>1.27</v>
      </c>
      <c r="E44" s="12">
        <v>1</v>
      </c>
      <c r="F44" s="8">
        <v>0.71</v>
      </c>
      <c r="G44" s="12">
        <v>2</v>
      </c>
      <c r="H44" s="8">
        <v>2.15</v>
      </c>
      <c r="I44" s="12">
        <v>0</v>
      </c>
    </row>
    <row r="45" spans="2:9" ht="15" customHeight="1" x14ac:dyDescent="0.2">
      <c r="B45" t="s">
        <v>105</v>
      </c>
      <c r="C45" s="12">
        <v>3</v>
      </c>
      <c r="D45" s="8">
        <v>1.27</v>
      </c>
      <c r="E45" s="12">
        <v>2</v>
      </c>
      <c r="F45" s="8">
        <v>1.43</v>
      </c>
      <c r="G45" s="12">
        <v>1</v>
      </c>
      <c r="H45" s="8">
        <v>1.08</v>
      </c>
      <c r="I45" s="12">
        <v>0</v>
      </c>
    </row>
    <row r="48" spans="2:9" ht="33" customHeight="1" x14ac:dyDescent="0.2">
      <c r="B48" t="s">
        <v>273</v>
      </c>
      <c r="C48" s="10" t="s">
        <v>91</v>
      </c>
      <c r="D48" s="10" t="s">
        <v>92</v>
      </c>
      <c r="E48" s="10" t="s">
        <v>93</v>
      </c>
      <c r="F48" s="10" t="s">
        <v>94</v>
      </c>
      <c r="G48" s="10" t="s">
        <v>95</v>
      </c>
      <c r="H48" s="10" t="s">
        <v>96</v>
      </c>
      <c r="I48" s="10" t="s">
        <v>97</v>
      </c>
    </row>
    <row r="49" spans="2:9" ht="15" customHeight="1" x14ac:dyDescent="0.2">
      <c r="B49" t="s">
        <v>190</v>
      </c>
      <c r="C49" s="12">
        <v>13</v>
      </c>
      <c r="D49" s="8">
        <v>5.49</v>
      </c>
      <c r="E49" s="12">
        <v>3</v>
      </c>
      <c r="F49" s="8">
        <v>2.14</v>
      </c>
      <c r="G49" s="12">
        <v>10</v>
      </c>
      <c r="H49" s="8">
        <v>10.75</v>
      </c>
      <c r="I49" s="12">
        <v>0</v>
      </c>
    </row>
    <row r="50" spans="2:9" ht="15" customHeight="1" x14ac:dyDescent="0.2">
      <c r="B50" t="s">
        <v>161</v>
      </c>
      <c r="C50" s="12">
        <v>9</v>
      </c>
      <c r="D50" s="8">
        <v>3.8</v>
      </c>
      <c r="E50" s="12">
        <v>9</v>
      </c>
      <c r="F50" s="8">
        <v>6.43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245</v>
      </c>
      <c r="C51" s="12">
        <v>8</v>
      </c>
      <c r="D51" s="8">
        <v>3.38</v>
      </c>
      <c r="E51" s="12">
        <v>3</v>
      </c>
      <c r="F51" s="8">
        <v>2.14</v>
      </c>
      <c r="G51" s="12">
        <v>5</v>
      </c>
      <c r="H51" s="8">
        <v>5.38</v>
      </c>
      <c r="I51" s="12">
        <v>0</v>
      </c>
    </row>
    <row r="52" spans="2:9" ht="15" customHeight="1" x14ac:dyDescent="0.2">
      <c r="B52" t="s">
        <v>171</v>
      </c>
      <c r="C52" s="12">
        <v>8</v>
      </c>
      <c r="D52" s="8">
        <v>3.38</v>
      </c>
      <c r="E52" s="12">
        <v>6</v>
      </c>
      <c r="F52" s="8">
        <v>4.29</v>
      </c>
      <c r="G52" s="12">
        <v>2</v>
      </c>
      <c r="H52" s="8">
        <v>2.15</v>
      </c>
      <c r="I52" s="12">
        <v>0</v>
      </c>
    </row>
    <row r="53" spans="2:9" ht="15" customHeight="1" x14ac:dyDescent="0.2">
      <c r="B53" t="s">
        <v>156</v>
      </c>
      <c r="C53" s="12">
        <v>7</v>
      </c>
      <c r="D53" s="8">
        <v>2.95</v>
      </c>
      <c r="E53" s="12">
        <v>5</v>
      </c>
      <c r="F53" s="8">
        <v>3.57</v>
      </c>
      <c r="G53" s="12">
        <v>2</v>
      </c>
      <c r="H53" s="8">
        <v>2.15</v>
      </c>
      <c r="I53" s="12">
        <v>0</v>
      </c>
    </row>
    <row r="54" spans="2:9" ht="15" customHeight="1" x14ac:dyDescent="0.2">
      <c r="B54" t="s">
        <v>167</v>
      </c>
      <c r="C54" s="12">
        <v>7</v>
      </c>
      <c r="D54" s="8">
        <v>2.95</v>
      </c>
      <c r="E54" s="12">
        <v>7</v>
      </c>
      <c r="F54" s="8">
        <v>5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168</v>
      </c>
      <c r="C55" s="12">
        <v>7</v>
      </c>
      <c r="D55" s="8">
        <v>2.95</v>
      </c>
      <c r="E55" s="12">
        <v>7</v>
      </c>
      <c r="F55" s="8">
        <v>5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153</v>
      </c>
      <c r="C56" s="12">
        <v>6</v>
      </c>
      <c r="D56" s="8">
        <v>2.5299999999999998</v>
      </c>
      <c r="E56" s="12">
        <v>0</v>
      </c>
      <c r="F56" s="8">
        <v>0</v>
      </c>
      <c r="G56" s="12">
        <v>6</v>
      </c>
      <c r="H56" s="8">
        <v>6.45</v>
      </c>
      <c r="I56" s="12">
        <v>0</v>
      </c>
    </row>
    <row r="57" spans="2:9" ht="15" customHeight="1" x14ac:dyDescent="0.2">
      <c r="B57" t="s">
        <v>194</v>
      </c>
      <c r="C57" s="12">
        <v>6</v>
      </c>
      <c r="D57" s="8">
        <v>2.5299999999999998</v>
      </c>
      <c r="E57" s="12">
        <v>5</v>
      </c>
      <c r="F57" s="8">
        <v>3.57</v>
      </c>
      <c r="G57" s="12">
        <v>1</v>
      </c>
      <c r="H57" s="8">
        <v>1.08</v>
      </c>
      <c r="I57" s="12">
        <v>0</v>
      </c>
    </row>
    <row r="58" spans="2:9" ht="15" customHeight="1" x14ac:dyDescent="0.2">
      <c r="B58" t="s">
        <v>160</v>
      </c>
      <c r="C58" s="12">
        <v>6</v>
      </c>
      <c r="D58" s="8">
        <v>2.5299999999999998</v>
      </c>
      <c r="E58" s="12">
        <v>2</v>
      </c>
      <c r="F58" s="8">
        <v>1.43</v>
      </c>
      <c r="G58" s="12">
        <v>4</v>
      </c>
      <c r="H58" s="8">
        <v>4.3</v>
      </c>
      <c r="I58" s="12">
        <v>0</v>
      </c>
    </row>
    <row r="59" spans="2:9" ht="15" customHeight="1" x14ac:dyDescent="0.2">
      <c r="B59" t="s">
        <v>257</v>
      </c>
      <c r="C59" s="12">
        <v>5</v>
      </c>
      <c r="D59" s="8">
        <v>2.11</v>
      </c>
      <c r="E59" s="12">
        <v>4</v>
      </c>
      <c r="F59" s="8">
        <v>2.86</v>
      </c>
      <c r="G59" s="12">
        <v>1</v>
      </c>
      <c r="H59" s="8">
        <v>1.08</v>
      </c>
      <c r="I59" s="12">
        <v>0</v>
      </c>
    </row>
    <row r="60" spans="2:9" ht="15" customHeight="1" x14ac:dyDescent="0.2">
      <c r="B60" t="s">
        <v>201</v>
      </c>
      <c r="C60" s="12">
        <v>5</v>
      </c>
      <c r="D60" s="8">
        <v>2.11</v>
      </c>
      <c r="E60" s="12">
        <v>4</v>
      </c>
      <c r="F60" s="8">
        <v>2.86</v>
      </c>
      <c r="G60" s="12">
        <v>1</v>
      </c>
      <c r="H60" s="8">
        <v>1.08</v>
      </c>
      <c r="I60" s="12">
        <v>0</v>
      </c>
    </row>
    <row r="61" spans="2:9" ht="15" customHeight="1" x14ac:dyDescent="0.2">
      <c r="B61" t="s">
        <v>169</v>
      </c>
      <c r="C61" s="12">
        <v>5</v>
      </c>
      <c r="D61" s="8">
        <v>2.11</v>
      </c>
      <c r="E61" s="12">
        <v>5</v>
      </c>
      <c r="F61" s="8">
        <v>3.57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259</v>
      </c>
      <c r="C62" s="12">
        <v>5</v>
      </c>
      <c r="D62" s="8">
        <v>2.11</v>
      </c>
      <c r="E62" s="12">
        <v>3</v>
      </c>
      <c r="F62" s="8">
        <v>2.14</v>
      </c>
      <c r="G62" s="12">
        <v>2</v>
      </c>
      <c r="H62" s="8">
        <v>2.15</v>
      </c>
      <c r="I62" s="12">
        <v>0</v>
      </c>
    </row>
    <row r="63" spans="2:9" ht="15" customHeight="1" x14ac:dyDescent="0.2">
      <c r="B63" t="s">
        <v>198</v>
      </c>
      <c r="C63" s="12">
        <v>5</v>
      </c>
      <c r="D63" s="8">
        <v>2.11</v>
      </c>
      <c r="E63" s="12">
        <v>4</v>
      </c>
      <c r="F63" s="8">
        <v>2.86</v>
      </c>
      <c r="G63" s="12">
        <v>1</v>
      </c>
      <c r="H63" s="8">
        <v>1.08</v>
      </c>
      <c r="I63" s="12">
        <v>0</v>
      </c>
    </row>
    <row r="64" spans="2:9" ht="15" customHeight="1" x14ac:dyDescent="0.2">
      <c r="B64" t="s">
        <v>152</v>
      </c>
      <c r="C64" s="12">
        <v>4</v>
      </c>
      <c r="D64" s="8">
        <v>1.69</v>
      </c>
      <c r="E64" s="12">
        <v>1</v>
      </c>
      <c r="F64" s="8">
        <v>0.71</v>
      </c>
      <c r="G64" s="12">
        <v>3</v>
      </c>
      <c r="H64" s="8">
        <v>3.23</v>
      </c>
      <c r="I64" s="12">
        <v>0</v>
      </c>
    </row>
    <row r="65" spans="2:9" ht="15" customHeight="1" x14ac:dyDescent="0.2">
      <c r="B65" t="s">
        <v>224</v>
      </c>
      <c r="C65" s="12">
        <v>4</v>
      </c>
      <c r="D65" s="8">
        <v>1.69</v>
      </c>
      <c r="E65" s="12">
        <v>2</v>
      </c>
      <c r="F65" s="8">
        <v>1.43</v>
      </c>
      <c r="G65" s="12">
        <v>2</v>
      </c>
      <c r="H65" s="8">
        <v>2.15</v>
      </c>
      <c r="I65" s="12">
        <v>0</v>
      </c>
    </row>
    <row r="66" spans="2:9" ht="15" customHeight="1" x14ac:dyDescent="0.2">
      <c r="B66" t="s">
        <v>215</v>
      </c>
      <c r="C66" s="12">
        <v>4</v>
      </c>
      <c r="D66" s="8">
        <v>1.69</v>
      </c>
      <c r="E66" s="12">
        <v>4</v>
      </c>
      <c r="F66" s="8">
        <v>2.86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157</v>
      </c>
      <c r="C67" s="12">
        <v>4</v>
      </c>
      <c r="D67" s="8">
        <v>1.69</v>
      </c>
      <c r="E67" s="12">
        <v>4</v>
      </c>
      <c r="F67" s="8">
        <v>2.86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258</v>
      </c>
      <c r="C68" s="12">
        <v>4</v>
      </c>
      <c r="D68" s="8">
        <v>1.69</v>
      </c>
      <c r="E68" s="12">
        <v>3</v>
      </c>
      <c r="F68" s="8">
        <v>2.14</v>
      </c>
      <c r="G68" s="12">
        <v>1</v>
      </c>
      <c r="H68" s="8">
        <v>1.08</v>
      </c>
      <c r="I68" s="12">
        <v>0</v>
      </c>
    </row>
    <row r="69" spans="2:9" ht="15" customHeight="1" x14ac:dyDescent="0.2">
      <c r="B69" t="s">
        <v>165</v>
      </c>
      <c r="C69" s="12">
        <v>4</v>
      </c>
      <c r="D69" s="8">
        <v>1.69</v>
      </c>
      <c r="E69" s="12">
        <v>4</v>
      </c>
      <c r="F69" s="8">
        <v>2.86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183</v>
      </c>
      <c r="C70" s="12">
        <v>4</v>
      </c>
      <c r="D70" s="8">
        <v>1.69</v>
      </c>
      <c r="E70" s="12">
        <v>4</v>
      </c>
      <c r="F70" s="8">
        <v>2.86</v>
      </c>
      <c r="G70" s="12">
        <v>0</v>
      </c>
      <c r="H70" s="8">
        <v>0</v>
      </c>
      <c r="I70" s="12">
        <v>0</v>
      </c>
    </row>
    <row r="72" spans="2:9" ht="15" customHeight="1" x14ac:dyDescent="0.2">
      <c r="B72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ED0BB-D80F-4A94-9F32-0E3E0C11C056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346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49</v>
      </c>
      <c r="D6" s="8">
        <v>20.76</v>
      </c>
      <c r="E6" s="12">
        <v>14</v>
      </c>
      <c r="F6" s="8">
        <v>10.37</v>
      </c>
      <c r="G6" s="12">
        <v>35</v>
      </c>
      <c r="H6" s="8">
        <v>35.71</v>
      </c>
      <c r="I6" s="12">
        <v>0</v>
      </c>
    </row>
    <row r="7" spans="2:9" ht="15" customHeight="1" x14ac:dyDescent="0.2">
      <c r="B7" t="s">
        <v>77</v>
      </c>
      <c r="C7" s="12">
        <v>35</v>
      </c>
      <c r="D7" s="8">
        <v>14.83</v>
      </c>
      <c r="E7" s="12">
        <v>14</v>
      </c>
      <c r="F7" s="8">
        <v>10.37</v>
      </c>
      <c r="G7" s="12">
        <v>21</v>
      </c>
      <c r="H7" s="8">
        <v>21.43</v>
      </c>
      <c r="I7" s="12">
        <v>0</v>
      </c>
    </row>
    <row r="8" spans="2:9" ht="15" customHeight="1" x14ac:dyDescent="0.2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79</v>
      </c>
      <c r="C9" s="12">
        <v>1</v>
      </c>
      <c r="D9" s="8">
        <v>0.42</v>
      </c>
      <c r="E9" s="12">
        <v>0</v>
      </c>
      <c r="F9" s="8">
        <v>0</v>
      </c>
      <c r="G9" s="12">
        <v>1</v>
      </c>
      <c r="H9" s="8">
        <v>1.02</v>
      </c>
      <c r="I9" s="12">
        <v>0</v>
      </c>
    </row>
    <row r="10" spans="2:9" ht="15" customHeight="1" x14ac:dyDescent="0.2">
      <c r="B10" t="s">
        <v>80</v>
      </c>
      <c r="C10" s="12">
        <v>1</v>
      </c>
      <c r="D10" s="8">
        <v>0.42</v>
      </c>
      <c r="E10" s="12">
        <v>0</v>
      </c>
      <c r="F10" s="8">
        <v>0</v>
      </c>
      <c r="G10" s="12">
        <v>1</v>
      </c>
      <c r="H10" s="8">
        <v>1.02</v>
      </c>
      <c r="I10" s="12">
        <v>0</v>
      </c>
    </row>
    <row r="11" spans="2:9" ht="15" customHeight="1" x14ac:dyDescent="0.2">
      <c r="B11" t="s">
        <v>81</v>
      </c>
      <c r="C11" s="12">
        <v>43</v>
      </c>
      <c r="D11" s="8">
        <v>18.22</v>
      </c>
      <c r="E11" s="12">
        <v>26</v>
      </c>
      <c r="F11" s="8">
        <v>19.260000000000002</v>
      </c>
      <c r="G11" s="12">
        <v>16</v>
      </c>
      <c r="H11" s="8">
        <v>16.329999999999998</v>
      </c>
      <c r="I11" s="12">
        <v>1</v>
      </c>
    </row>
    <row r="12" spans="2:9" ht="15" customHeight="1" x14ac:dyDescent="0.2">
      <c r="B12" t="s">
        <v>82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83</v>
      </c>
      <c r="C13" s="12">
        <v>36</v>
      </c>
      <c r="D13" s="8">
        <v>15.25</v>
      </c>
      <c r="E13" s="12">
        <v>27</v>
      </c>
      <c r="F13" s="8">
        <v>20</v>
      </c>
      <c r="G13" s="12">
        <v>9</v>
      </c>
      <c r="H13" s="8">
        <v>9.18</v>
      </c>
      <c r="I13" s="12">
        <v>0</v>
      </c>
    </row>
    <row r="14" spans="2:9" ht="15" customHeight="1" x14ac:dyDescent="0.2">
      <c r="B14" t="s">
        <v>84</v>
      </c>
      <c r="C14" s="12">
        <v>9</v>
      </c>
      <c r="D14" s="8">
        <v>3.81</v>
      </c>
      <c r="E14" s="12">
        <v>2</v>
      </c>
      <c r="F14" s="8">
        <v>1.48</v>
      </c>
      <c r="G14" s="12">
        <v>7</v>
      </c>
      <c r="H14" s="8">
        <v>7.14</v>
      </c>
      <c r="I14" s="12">
        <v>0</v>
      </c>
    </row>
    <row r="15" spans="2:9" ht="15" customHeight="1" x14ac:dyDescent="0.2">
      <c r="B15" t="s">
        <v>85</v>
      </c>
      <c r="C15" s="12">
        <v>15</v>
      </c>
      <c r="D15" s="8">
        <v>6.36</v>
      </c>
      <c r="E15" s="12">
        <v>14</v>
      </c>
      <c r="F15" s="8">
        <v>10.37</v>
      </c>
      <c r="G15" s="12">
        <v>0</v>
      </c>
      <c r="H15" s="8">
        <v>0</v>
      </c>
      <c r="I15" s="12">
        <v>0</v>
      </c>
    </row>
    <row r="16" spans="2:9" ht="15" customHeight="1" x14ac:dyDescent="0.2">
      <c r="B16" t="s">
        <v>86</v>
      </c>
      <c r="C16" s="12">
        <v>15</v>
      </c>
      <c r="D16" s="8">
        <v>6.36</v>
      </c>
      <c r="E16" s="12">
        <v>14</v>
      </c>
      <c r="F16" s="8">
        <v>10.37</v>
      </c>
      <c r="G16" s="12">
        <v>1</v>
      </c>
      <c r="H16" s="8">
        <v>1.02</v>
      </c>
      <c r="I16" s="12">
        <v>0</v>
      </c>
    </row>
    <row r="17" spans="2:9" ht="15" customHeight="1" x14ac:dyDescent="0.2">
      <c r="B17" t="s">
        <v>87</v>
      </c>
      <c r="C17" s="12">
        <v>11</v>
      </c>
      <c r="D17" s="8">
        <v>4.66</v>
      </c>
      <c r="E17" s="12">
        <v>9</v>
      </c>
      <c r="F17" s="8">
        <v>6.67</v>
      </c>
      <c r="G17" s="12">
        <v>1</v>
      </c>
      <c r="H17" s="8">
        <v>1.02</v>
      </c>
      <c r="I17" s="12">
        <v>0</v>
      </c>
    </row>
    <row r="18" spans="2:9" ht="15" customHeight="1" x14ac:dyDescent="0.2">
      <c r="B18" t="s">
        <v>88</v>
      </c>
      <c r="C18" s="12">
        <v>11</v>
      </c>
      <c r="D18" s="8">
        <v>4.66</v>
      </c>
      <c r="E18" s="12">
        <v>9</v>
      </c>
      <c r="F18" s="8">
        <v>6.67</v>
      </c>
      <c r="G18" s="12">
        <v>2</v>
      </c>
      <c r="H18" s="8">
        <v>2.04</v>
      </c>
      <c r="I18" s="12">
        <v>0</v>
      </c>
    </row>
    <row r="19" spans="2:9" ht="15" customHeight="1" x14ac:dyDescent="0.2">
      <c r="B19" t="s">
        <v>89</v>
      </c>
      <c r="C19" s="12">
        <v>10</v>
      </c>
      <c r="D19" s="8">
        <v>4.24</v>
      </c>
      <c r="E19" s="12">
        <v>6</v>
      </c>
      <c r="F19" s="8">
        <v>4.4400000000000004</v>
      </c>
      <c r="G19" s="12">
        <v>4</v>
      </c>
      <c r="H19" s="8">
        <v>4.08</v>
      </c>
      <c r="I19" s="12">
        <v>0</v>
      </c>
    </row>
    <row r="20" spans="2:9" ht="15" customHeight="1" x14ac:dyDescent="0.2">
      <c r="B20" s="9" t="s">
        <v>271</v>
      </c>
      <c r="C20" s="12">
        <f>SUM(LTBL_27381[総数／事業所数])</f>
        <v>236</v>
      </c>
      <c r="E20" s="12">
        <f>SUBTOTAL(109,LTBL_27381[個人／事業所数])</f>
        <v>135</v>
      </c>
      <c r="G20" s="12">
        <f>SUBTOTAL(109,LTBL_27381[法人／事業所数])</f>
        <v>98</v>
      </c>
      <c r="I20" s="12">
        <f>SUBTOTAL(109,LTBL_27381[法人以外の団体／事業所数])</f>
        <v>1</v>
      </c>
    </row>
    <row r="21" spans="2:9" ht="15" customHeight="1" x14ac:dyDescent="0.2">
      <c r="E21" s="11">
        <f>LTBL_27381[[#Totals],[個人／事業所数]]/LTBL_27381[[#Totals],[総数／事業所数]]</f>
        <v>0.57203389830508478</v>
      </c>
      <c r="G21" s="11">
        <f>LTBL_27381[[#Totals],[法人／事業所数]]/LTBL_27381[[#Totals],[総数／事業所数]]</f>
        <v>0.4152542372881356</v>
      </c>
      <c r="I21" s="11">
        <f>LTBL_27381[[#Totals],[法人以外の団体／事業所数]]/LTBL_27381[[#Totals],[総数／事業所数]]</f>
        <v>4.2372881355932203E-3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110</v>
      </c>
      <c r="C24" s="12">
        <v>32</v>
      </c>
      <c r="D24" s="8">
        <v>13.56</v>
      </c>
      <c r="E24" s="12">
        <v>26</v>
      </c>
      <c r="F24" s="8">
        <v>19.260000000000002</v>
      </c>
      <c r="G24" s="12">
        <v>6</v>
      </c>
      <c r="H24" s="8">
        <v>6.12</v>
      </c>
      <c r="I24" s="12">
        <v>0</v>
      </c>
    </row>
    <row r="25" spans="2:9" ht="15" customHeight="1" x14ac:dyDescent="0.2">
      <c r="B25" t="s">
        <v>98</v>
      </c>
      <c r="C25" s="12">
        <v>26</v>
      </c>
      <c r="D25" s="8">
        <v>11.02</v>
      </c>
      <c r="E25" s="12">
        <v>8</v>
      </c>
      <c r="F25" s="8">
        <v>5.93</v>
      </c>
      <c r="G25" s="12">
        <v>18</v>
      </c>
      <c r="H25" s="8">
        <v>18.37</v>
      </c>
      <c r="I25" s="12">
        <v>0</v>
      </c>
    </row>
    <row r="26" spans="2:9" ht="15" customHeight="1" x14ac:dyDescent="0.2">
      <c r="B26" t="s">
        <v>99</v>
      </c>
      <c r="C26" s="12">
        <v>14</v>
      </c>
      <c r="D26" s="8">
        <v>5.93</v>
      </c>
      <c r="E26" s="12">
        <v>4</v>
      </c>
      <c r="F26" s="8">
        <v>2.96</v>
      </c>
      <c r="G26" s="12">
        <v>10</v>
      </c>
      <c r="H26" s="8">
        <v>10.199999999999999</v>
      </c>
      <c r="I26" s="12">
        <v>0</v>
      </c>
    </row>
    <row r="27" spans="2:9" ht="15" customHeight="1" x14ac:dyDescent="0.2">
      <c r="B27" t="s">
        <v>114</v>
      </c>
      <c r="C27" s="12">
        <v>14</v>
      </c>
      <c r="D27" s="8">
        <v>5.93</v>
      </c>
      <c r="E27" s="12">
        <v>13</v>
      </c>
      <c r="F27" s="8">
        <v>9.6300000000000008</v>
      </c>
      <c r="G27" s="12">
        <v>1</v>
      </c>
      <c r="H27" s="8">
        <v>1.02</v>
      </c>
      <c r="I27" s="12">
        <v>0</v>
      </c>
    </row>
    <row r="28" spans="2:9" ht="15" customHeight="1" x14ac:dyDescent="0.2">
      <c r="B28" t="s">
        <v>113</v>
      </c>
      <c r="C28" s="12">
        <v>12</v>
      </c>
      <c r="D28" s="8">
        <v>5.08</v>
      </c>
      <c r="E28" s="12">
        <v>12</v>
      </c>
      <c r="F28" s="8">
        <v>8.89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115</v>
      </c>
      <c r="C29" s="12">
        <v>11</v>
      </c>
      <c r="D29" s="8">
        <v>4.66</v>
      </c>
      <c r="E29" s="12">
        <v>9</v>
      </c>
      <c r="F29" s="8">
        <v>6.67</v>
      </c>
      <c r="G29" s="12">
        <v>1</v>
      </c>
      <c r="H29" s="8">
        <v>1.02</v>
      </c>
      <c r="I29" s="12">
        <v>0</v>
      </c>
    </row>
    <row r="30" spans="2:9" ht="15" customHeight="1" x14ac:dyDescent="0.2">
      <c r="B30" t="s">
        <v>101</v>
      </c>
      <c r="C30" s="12">
        <v>10</v>
      </c>
      <c r="D30" s="8">
        <v>4.24</v>
      </c>
      <c r="E30" s="12">
        <v>5</v>
      </c>
      <c r="F30" s="8">
        <v>3.7</v>
      </c>
      <c r="G30" s="12">
        <v>5</v>
      </c>
      <c r="H30" s="8">
        <v>5.0999999999999996</v>
      </c>
      <c r="I30" s="12">
        <v>0</v>
      </c>
    </row>
    <row r="31" spans="2:9" ht="15" customHeight="1" x14ac:dyDescent="0.2">
      <c r="B31" t="s">
        <v>116</v>
      </c>
      <c r="C31" s="12">
        <v>10</v>
      </c>
      <c r="D31" s="8">
        <v>4.24</v>
      </c>
      <c r="E31" s="12">
        <v>9</v>
      </c>
      <c r="F31" s="8">
        <v>6.67</v>
      </c>
      <c r="G31" s="12">
        <v>1</v>
      </c>
      <c r="H31" s="8">
        <v>1.02</v>
      </c>
      <c r="I31" s="12">
        <v>0</v>
      </c>
    </row>
    <row r="32" spans="2:9" ht="15" customHeight="1" x14ac:dyDescent="0.2">
      <c r="B32" t="s">
        <v>100</v>
      </c>
      <c r="C32" s="12">
        <v>9</v>
      </c>
      <c r="D32" s="8">
        <v>3.81</v>
      </c>
      <c r="E32" s="12">
        <v>2</v>
      </c>
      <c r="F32" s="8">
        <v>1.48</v>
      </c>
      <c r="G32" s="12">
        <v>7</v>
      </c>
      <c r="H32" s="8">
        <v>7.14</v>
      </c>
      <c r="I32" s="12">
        <v>0</v>
      </c>
    </row>
    <row r="33" spans="2:9" ht="15" customHeight="1" x14ac:dyDescent="0.2">
      <c r="B33" t="s">
        <v>108</v>
      </c>
      <c r="C33" s="12">
        <v>9</v>
      </c>
      <c r="D33" s="8">
        <v>3.81</v>
      </c>
      <c r="E33" s="12">
        <v>7</v>
      </c>
      <c r="F33" s="8">
        <v>5.19</v>
      </c>
      <c r="G33" s="12">
        <v>2</v>
      </c>
      <c r="H33" s="8">
        <v>2.04</v>
      </c>
      <c r="I33" s="12">
        <v>0</v>
      </c>
    </row>
    <row r="34" spans="2:9" ht="15" customHeight="1" x14ac:dyDescent="0.2">
      <c r="B34" t="s">
        <v>106</v>
      </c>
      <c r="C34" s="12">
        <v>8</v>
      </c>
      <c r="D34" s="8">
        <v>3.39</v>
      </c>
      <c r="E34" s="12">
        <v>6</v>
      </c>
      <c r="F34" s="8">
        <v>4.4400000000000004</v>
      </c>
      <c r="G34" s="12">
        <v>1</v>
      </c>
      <c r="H34" s="8">
        <v>1.02</v>
      </c>
      <c r="I34" s="12">
        <v>1</v>
      </c>
    </row>
    <row r="35" spans="2:9" ht="15" customHeight="1" x14ac:dyDescent="0.2">
      <c r="B35" t="s">
        <v>104</v>
      </c>
      <c r="C35" s="12">
        <v>6</v>
      </c>
      <c r="D35" s="8">
        <v>2.54</v>
      </c>
      <c r="E35" s="12">
        <v>0</v>
      </c>
      <c r="F35" s="8">
        <v>0</v>
      </c>
      <c r="G35" s="12">
        <v>6</v>
      </c>
      <c r="H35" s="8">
        <v>6.12</v>
      </c>
      <c r="I35" s="12">
        <v>0</v>
      </c>
    </row>
    <row r="36" spans="2:9" ht="15" customHeight="1" x14ac:dyDescent="0.2">
      <c r="B36" t="s">
        <v>129</v>
      </c>
      <c r="C36" s="12">
        <v>6</v>
      </c>
      <c r="D36" s="8">
        <v>2.54</v>
      </c>
      <c r="E36" s="12">
        <v>4</v>
      </c>
      <c r="F36" s="8">
        <v>2.96</v>
      </c>
      <c r="G36" s="12">
        <v>2</v>
      </c>
      <c r="H36" s="8">
        <v>2.04</v>
      </c>
      <c r="I36" s="12">
        <v>0</v>
      </c>
    </row>
    <row r="37" spans="2:9" ht="15" customHeight="1" x14ac:dyDescent="0.2">
      <c r="B37" t="s">
        <v>120</v>
      </c>
      <c r="C37" s="12">
        <v>5</v>
      </c>
      <c r="D37" s="8">
        <v>2.12</v>
      </c>
      <c r="E37" s="12">
        <v>4</v>
      </c>
      <c r="F37" s="8">
        <v>2.96</v>
      </c>
      <c r="G37" s="12">
        <v>1</v>
      </c>
      <c r="H37" s="8">
        <v>1.02</v>
      </c>
      <c r="I37" s="12">
        <v>0</v>
      </c>
    </row>
    <row r="38" spans="2:9" ht="15" customHeight="1" x14ac:dyDescent="0.2">
      <c r="B38" t="s">
        <v>102</v>
      </c>
      <c r="C38" s="12">
        <v>5</v>
      </c>
      <c r="D38" s="8">
        <v>2.12</v>
      </c>
      <c r="E38" s="12">
        <v>2</v>
      </c>
      <c r="F38" s="8">
        <v>1.48</v>
      </c>
      <c r="G38" s="12">
        <v>3</v>
      </c>
      <c r="H38" s="8">
        <v>3.06</v>
      </c>
      <c r="I38" s="12">
        <v>0</v>
      </c>
    </row>
    <row r="39" spans="2:9" ht="15" customHeight="1" x14ac:dyDescent="0.2">
      <c r="B39" t="s">
        <v>107</v>
      </c>
      <c r="C39" s="12">
        <v>5</v>
      </c>
      <c r="D39" s="8">
        <v>2.12</v>
      </c>
      <c r="E39" s="12">
        <v>5</v>
      </c>
      <c r="F39" s="8">
        <v>3.7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142</v>
      </c>
      <c r="C40" s="12">
        <v>4</v>
      </c>
      <c r="D40" s="8">
        <v>1.69</v>
      </c>
      <c r="E40" s="12">
        <v>1</v>
      </c>
      <c r="F40" s="8">
        <v>0.74</v>
      </c>
      <c r="G40" s="12">
        <v>3</v>
      </c>
      <c r="H40" s="8">
        <v>3.06</v>
      </c>
      <c r="I40" s="12">
        <v>0</v>
      </c>
    </row>
    <row r="41" spans="2:9" ht="15" customHeight="1" x14ac:dyDescent="0.2">
      <c r="B41" t="s">
        <v>105</v>
      </c>
      <c r="C41" s="12">
        <v>4</v>
      </c>
      <c r="D41" s="8">
        <v>1.69</v>
      </c>
      <c r="E41" s="12">
        <v>4</v>
      </c>
      <c r="F41" s="8">
        <v>2.96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135</v>
      </c>
      <c r="C42" s="12">
        <v>4</v>
      </c>
      <c r="D42" s="8">
        <v>1.69</v>
      </c>
      <c r="E42" s="12">
        <v>1</v>
      </c>
      <c r="F42" s="8">
        <v>0.74</v>
      </c>
      <c r="G42" s="12">
        <v>3</v>
      </c>
      <c r="H42" s="8">
        <v>3.06</v>
      </c>
      <c r="I42" s="12">
        <v>0</v>
      </c>
    </row>
    <row r="43" spans="2:9" ht="15" customHeight="1" x14ac:dyDescent="0.2">
      <c r="B43" t="s">
        <v>111</v>
      </c>
      <c r="C43" s="12">
        <v>4</v>
      </c>
      <c r="D43" s="8">
        <v>1.69</v>
      </c>
      <c r="E43" s="12">
        <v>0</v>
      </c>
      <c r="F43" s="8">
        <v>0</v>
      </c>
      <c r="G43" s="12">
        <v>4</v>
      </c>
      <c r="H43" s="8">
        <v>4.08</v>
      </c>
      <c r="I43" s="12">
        <v>0</v>
      </c>
    </row>
    <row r="44" spans="2:9" ht="15" customHeight="1" x14ac:dyDescent="0.2">
      <c r="B44" t="s">
        <v>112</v>
      </c>
      <c r="C44" s="12">
        <v>4</v>
      </c>
      <c r="D44" s="8">
        <v>1.69</v>
      </c>
      <c r="E44" s="12">
        <v>2</v>
      </c>
      <c r="F44" s="8">
        <v>1.48</v>
      </c>
      <c r="G44" s="12">
        <v>2</v>
      </c>
      <c r="H44" s="8">
        <v>2.04</v>
      </c>
      <c r="I44" s="12">
        <v>0</v>
      </c>
    </row>
    <row r="47" spans="2:9" ht="33" customHeight="1" x14ac:dyDescent="0.2">
      <c r="B47" t="s">
        <v>273</v>
      </c>
      <c r="C47" s="10" t="s">
        <v>91</v>
      </c>
      <c r="D47" s="10" t="s">
        <v>92</v>
      </c>
      <c r="E47" s="10" t="s">
        <v>93</v>
      </c>
      <c r="F47" s="10" t="s">
        <v>94</v>
      </c>
      <c r="G47" s="10" t="s">
        <v>95</v>
      </c>
      <c r="H47" s="10" t="s">
        <v>96</v>
      </c>
      <c r="I47" s="10" t="s">
        <v>97</v>
      </c>
    </row>
    <row r="48" spans="2:9" ht="15" customHeight="1" x14ac:dyDescent="0.2">
      <c r="B48" t="s">
        <v>160</v>
      </c>
      <c r="C48" s="12">
        <v>16</v>
      </c>
      <c r="D48" s="8">
        <v>6.78</v>
      </c>
      <c r="E48" s="12">
        <v>14</v>
      </c>
      <c r="F48" s="8">
        <v>10.37</v>
      </c>
      <c r="G48" s="12">
        <v>2</v>
      </c>
      <c r="H48" s="8">
        <v>2.04</v>
      </c>
      <c r="I48" s="12">
        <v>0</v>
      </c>
    </row>
    <row r="49" spans="2:9" ht="15" customHeight="1" x14ac:dyDescent="0.2">
      <c r="B49" t="s">
        <v>161</v>
      </c>
      <c r="C49" s="12">
        <v>12</v>
      </c>
      <c r="D49" s="8">
        <v>5.08</v>
      </c>
      <c r="E49" s="12">
        <v>11</v>
      </c>
      <c r="F49" s="8">
        <v>8.15</v>
      </c>
      <c r="G49" s="12">
        <v>1</v>
      </c>
      <c r="H49" s="8">
        <v>1.02</v>
      </c>
      <c r="I49" s="12">
        <v>0</v>
      </c>
    </row>
    <row r="50" spans="2:9" ht="15" customHeight="1" x14ac:dyDescent="0.2">
      <c r="B50" t="s">
        <v>190</v>
      </c>
      <c r="C50" s="12">
        <v>11</v>
      </c>
      <c r="D50" s="8">
        <v>4.66</v>
      </c>
      <c r="E50" s="12">
        <v>4</v>
      </c>
      <c r="F50" s="8">
        <v>2.96</v>
      </c>
      <c r="G50" s="12">
        <v>7</v>
      </c>
      <c r="H50" s="8">
        <v>7.14</v>
      </c>
      <c r="I50" s="12">
        <v>0</v>
      </c>
    </row>
    <row r="51" spans="2:9" ht="15" customHeight="1" x14ac:dyDescent="0.2">
      <c r="B51" t="s">
        <v>169</v>
      </c>
      <c r="C51" s="12">
        <v>10</v>
      </c>
      <c r="D51" s="8">
        <v>4.24</v>
      </c>
      <c r="E51" s="12">
        <v>10</v>
      </c>
      <c r="F51" s="8">
        <v>7.41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170</v>
      </c>
      <c r="C52" s="12">
        <v>8</v>
      </c>
      <c r="D52" s="8">
        <v>3.39</v>
      </c>
      <c r="E52" s="12">
        <v>8</v>
      </c>
      <c r="F52" s="8">
        <v>5.93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171</v>
      </c>
      <c r="C53" s="12">
        <v>8</v>
      </c>
      <c r="D53" s="8">
        <v>3.39</v>
      </c>
      <c r="E53" s="12">
        <v>8</v>
      </c>
      <c r="F53" s="8">
        <v>5.93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167</v>
      </c>
      <c r="C54" s="12">
        <v>7</v>
      </c>
      <c r="D54" s="8">
        <v>2.97</v>
      </c>
      <c r="E54" s="12">
        <v>7</v>
      </c>
      <c r="F54" s="8">
        <v>5.19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152</v>
      </c>
      <c r="C55" s="12">
        <v>6</v>
      </c>
      <c r="D55" s="8">
        <v>2.54</v>
      </c>
      <c r="E55" s="12">
        <v>0</v>
      </c>
      <c r="F55" s="8">
        <v>0</v>
      </c>
      <c r="G55" s="12">
        <v>6</v>
      </c>
      <c r="H55" s="8">
        <v>6.12</v>
      </c>
      <c r="I55" s="12">
        <v>0</v>
      </c>
    </row>
    <row r="56" spans="2:9" ht="15" customHeight="1" x14ac:dyDescent="0.2">
      <c r="B56" t="s">
        <v>198</v>
      </c>
      <c r="C56" s="12">
        <v>6</v>
      </c>
      <c r="D56" s="8">
        <v>2.54</v>
      </c>
      <c r="E56" s="12">
        <v>4</v>
      </c>
      <c r="F56" s="8">
        <v>2.96</v>
      </c>
      <c r="G56" s="12">
        <v>2</v>
      </c>
      <c r="H56" s="8">
        <v>2.04</v>
      </c>
      <c r="I56" s="12">
        <v>0</v>
      </c>
    </row>
    <row r="57" spans="2:9" ht="15" customHeight="1" x14ac:dyDescent="0.2">
      <c r="B57" t="s">
        <v>210</v>
      </c>
      <c r="C57" s="12">
        <v>5</v>
      </c>
      <c r="D57" s="8">
        <v>2.12</v>
      </c>
      <c r="E57" s="12">
        <v>3</v>
      </c>
      <c r="F57" s="8">
        <v>2.2200000000000002</v>
      </c>
      <c r="G57" s="12">
        <v>2</v>
      </c>
      <c r="H57" s="8">
        <v>2.04</v>
      </c>
      <c r="I57" s="12">
        <v>0</v>
      </c>
    </row>
    <row r="58" spans="2:9" ht="15" customHeight="1" x14ac:dyDescent="0.2">
      <c r="B58" t="s">
        <v>153</v>
      </c>
      <c r="C58" s="12">
        <v>5</v>
      </c>
      <c r="D58" s="8">
        <v>2.12</v>
      </c>
      <c r="E58" s="12">
        <v>2</v>
      </c>
      <c r="F58" s="8">
        <v>1.48</v>
      </c>
      <c r="G58" s="12">
        <v>3</v>
      </c>
      <c r="H58" s="8">
        <v>3.06</v>
      </c>
      <c r="I58" s="12">
        <v>0</v>
      </c>
    </row>
    <row r="59" spans="2:9" ht="15" customHeight="1" x14ac:dyDescent="0.2">
      <c r="B59" t="s">
        <v>154</v>
      </c>
      <c r="C59" s="12">
        <v>5</v>
      </c>
      <c r="D59" s="8">
        <v>2.12</v>
      </c>
      <c r="E59" s="12">
        <v>0</v>
      </c>
      <c r="F59" s="8">
        <v>0</v>
      </c>
      <c r="G59" s="12">
        <v>5</v>
      </c>
      <c r="H59" s="8">
        <v>5.0999999999999996</v>
      </c>
      <c r="I59" s="12">
        <v>0</v>
      </c>
    </row>
    <row r="60" spans="2:9" ht="15" customHeight="1" x14ac:dyDescent="0.2">
      <c r="B60" t="s">
        <v>215</v>
      </c>
      <c r="C60" s="12">
        <v>5</v>
      </c>
      <c r="D60" s="8">
        <v>2.12</v>
      </c>
      <c r="E60" s="12">
        <v>5</v>
      </c>
      <c r="F60" s="8">
        <v>3.7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192</v>
      </c>
      <c r="C61" s="12">
        <v>4</v>
      </c>
      <c r="D61" s="8">
        <v>1.69</v>
      </c>
      <c r="E61" s="12">
        <v>2</v>
      </c>
      <c r="F61" s="8">
        <v>1.48</v>
      </c>
      <c r="G61" s="12">
        <v>2</v>
      </c>
      <c r="H61" s="8">
        <v>2.04</v>
      </c>
      <c r="I61" s="12">
        <v>0</v>
      </c>
    </row>
    <row r="62" spans="2:9" ht="15" customHeight="1" x14ac:dyDescent="0.2">
      <c r="B62" t="s">
        <v>217</v>
      </c>
      <c r="C62" s="12">
        <v>4</v>
      </c>
      <c r="D62" s="8">
        <v>1.69</v>
      </c>
      <c r="E62" s="12">
        <v>2</v>
      </c>
      <c r="F62" s="8">
        <v>1.48</v>
      </c>
      <c r="G62" s="12">
        <v>2</v>
      </c>
      <c r="H62" s="8">
        <v>2.04</v>
      </c>
      <c r="I62" s="12">
        <v>0</v>
      </c>
    </row>
    <row r="63" spans="2:9" ht="15" customHeight="1" x14ac:dyDescent="0.2">
      <c r="B63" t="s">
        <v>194</v>
      </c>
      <c r="C63" s="12">
        <v>4</v>
      </c>
      <c r="D63" s="8">
        <v>1.69</v>
      </c>
      <c r="E63" s="12">
        <v>4</v>
      </c>
      <c r="F63" s="8">
        <v>2.96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157</v>
      </c>
      <c r="C64" s="12">
        <v>4</v>
      </c>
      <c r="D64" s="8">
        <v>1.69</v>
      </c>
      <c r="E64" s="12">
        <v>4</v>
      </c>
      <c r="F64" s="8">
        <v>2.96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233</v>
      </c>
      <c r="C65" s="12">
        <v>4</v>
      </c>
      <c r="D65" s="8">
        <v>1.69</v>
      </c>
      <c r="E65" s="12">
        <v>1</v>
      </c>
      <c r="F65" s="8">
        <v>0.74</v>
      </c>
      <c r="G65" s="12">
        <v>3</v>
      </c>
      <c r="H65" s="8">
        <v>3.06</v>
      </c>
      <c r="I65" s="12">
        <v>0</v>
      </c>
    </row>
    <row r="66" spans="2:9" ht="15" customHeight="1" x14ac:dyDescent="0.2">
      <c r="B66" t="s">
        <v>224</v>
      </c>
      <c r="C66" s="12">
        <v>3</v>
      </c>
      <c r="D66" s="8">
        <v>1.27</v>
      </c>
      <c r="E66" s="12">
        <v>1</v>
      </c>
      <c r="F66" s="8">
        <v>0.74</v>
      </c>
      <c r="G66" s="12">
        <v>2</v>
      </c>
      <c r="H66" s="8">
        <v>2.04</v>
      </c>
      <c r="I66" s="12">
        <v>0</v>
      </c>
    </row>
    <row r="67" spans="2:9" ht="15" customHeight="1" x14ac:dyDescent="0.2">
      <c r="B67" t="s">
        <v>191</v>
      </c>
      <c r="C67" s="12">
        <v>3</v>
      </c>
      <c r="D67" s="8">
        <v>1.27</v>
      </c>
      <c r="E67" s="12">
        <v>0</v>
      </c>
      <c r="F67" s="8">
        <v>0</v>
      </c>
      <c r="G67" s="12">
        <v>3</v>
      </c>
      <c r="H67" s="8">
        <v>3.06</v>
      </c>
      <c r="I67" s="12">
        <v>0</v>
      </c>
    </row>
    <row r="68" spans="2:9" ht="15" customHeight="1" x14ac:dyDescent="0.2">
      <c r="B68" t="s">
        <v>174</v>
      </c>
      <c r="C68" s="12">
        <v>3</v>
      </c>
      <c r="D68" s="8">
        <v>1.27</v>
      </c>
      <c r="E68" s="12">
        <v>0</v>
      </c>
      <c r="F68" s="8">
        <v>0</v>
      </c>
      <c r="G68" s="12">
        <v>3</v>
      </c>
      <c r="H68" s="8">
        <v>3.06</v>
      </c>
      <c r="I68" s="12">
        <v>0</v>
      </c>
    </row>
    <row r="69" spans="2:9" ht="15" customHeight="1" x14ac:dyDescent="0.2">
      <c r="B69" t="s">
        <v>260</v>
      </c>
      <c r="C69" s="12">
        <v>3</v>
      </c>
      <c r="D69" s="8">
        <v>1.27</v>
      </c>
      <c r="E69" s="12">
        <v>3</v>
      </c>
      <c r="F69" s="8">
        <v>2.2200000000000002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159</v>
      </c>
      <c r="C70" s="12">
        <v>3</v>
      </c>
      <c r="D70" s="8">
        <v>1.27</v>
      </c>
      <c r="E70" s="12">
        <v>1</v>
      </c>
      <c r="F70" s="8">
        <v>0.74</v>
      </c>
      <c r="G70" s="12">
        <v>2</v>
      </c>
      <c r="H70" s="8">
        <v>2.04</v>
      </c>
      <c r="I70" s="12">
        <v>0</v>
      </c>
    </row>
    <row r="71" spans="2:9" ht="15" customHeight="1" x14ac:dyDescent="0.2">
      <c r="B71" t="s">
        <v>168</v>
      </c>
      <c r="C71" s="12">
        <v>3</v>
      </c>
      <c r="D71" s="8">
        <v>1.27</v>
      </c>
      <c r="E71" s="12">
        <v>3</v>
      </c>
      <c r="F71" s="8">
        <v>2.2200000000000002</v>
      </c>
      <c r="G71" s="12">
        <v>0</v>
      </c>
      <c r="H71" s="8">
        <v>0</v>
      </c>
      <c r="I71" s="12">
        <v>0</v>
      </c>
    </row>
    <row r="73" spans="2:9" ht="15" customHeight="1" x14ac:dyDescent="0.2">
      <c r="B73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438CA-B89D-4905-A665-11EA2645C630}">
  <sheetPr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347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65</v>
      </c>
      <c r="D6" s="8">
        <v>20</v>
      </c>
      <c r="E6" s="12">
        <v>21</v>
      </c>
      <c r="F6" s="8">
        <v>11.73</v>
      </c>
      <c r="G6" s="12">
        <v>44</v>
      </c>
      <c r="H6" s="8">
        <v>30.77</v>
      </c>
      <c r="I6" s="12">
        <v>0</v>
      </c>
    </row>
    <row r="7" spans="2:9" ht="15" customHeight="1" x14ac:dyDescent="0.2">
      <c r="B7" t="s">
        <v>77</v>
      </c>
      <c r="C7" s="12">
        <v>46</v>
      </c>
      <c r="D7" s="8">
        <v>14.15</v>
      </c>
      <c r="E7" s="12">
        <v>20</v>
      </c>
      <c r="F7" s="8">
        <v>11.17</v>
      </c>
      <c r="G7" s="12">
        <v>26</v>
      </c>
      <c r="H7" s="8">
        <v>18.18</v>
      </c>
      <c r="I7" s="12">
        <v>0</v>
      </c>
    </row>
    <row r="8" spans="2:9" ht="15" customHeight="1" x14ac:dyDescent="0.2">
      <c r="B8" t="s">
        <v>78</v>
      </c>
      <c r="C8" s="12">
        <v>1</v>
      </c>
      <c r="D8" s="8">
        <v>0.31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79</v>
      </c>
      <c r="C9" s="12">
        <v>4</v>
      </c>
      <c r="D9" s="8">
        <v>1.23</v>
      </c>
      <c r="E9" s="12">
        <v>1</v>
      </c>
      <c r="F9" s="8">
        <v>0.56000000000000005</v>
      </c>
      <c r="G9" s="12">
        <v>3</v>
      </c>
      <c r="H9" s="8">
        <v>2.1</v>
      </c>
      <c r="I9" s="12">
        <v>0</v>
      </c>
    </row>
    <row r="10" spans="2:9" ht="15" customHeight="1" x14ac:dyDescent="0.2">
      <c r="B10" t="s">
        <v>80</v>
      </c>
      <c r="C10" s="12">
        <v>4</v>
      </c>
      <c r="D10" s="8">
        <v>1.23</v>
      </c>
      <c r="E10" s="12">
        <v>1</v>
      </c>
      <c r="F10" s="8">
        <v>0.56000000000000005</v>
      </c>
      <c r="G10" s="12">
        <v>3</v>
      </c>
      <c r="H10" s="8">
        <v>2.1</v>
      </c>
      <c r="I10" s="12">
        <v>0</v>
      </c>
    </row>
    <row r="11" spans="2:9" ht="15" customHeight="1" x14ac:dyDescent="0.2">
      <c r="B11" t="s">
        <v>81</v>
      </c>
      <c r="C11" s="12">
        <v>63</v>
      </c>
      <c r="D11" s="8">
        <v>19.38</v>
      </c>
      <c r="E11" s="12">
        <v>34</v>
      </c>
      <c r="F11" s="8">
        <v>18.989999999999998</v>
      </c>
      <c r="G11" s="12">
        <v>29</v>
      </c>
      <c r="H11" s="8">
        <v>20.28</v>
      </c>
      <c r="I11" s="12">
        <v>0</v>
      </c>
    </row>
    <row r="12" spans="2:9" ht="15" customHeight="1" x14ac:dyDescent="0.2">
      <c r="B12" t="s">
        <v>82</v>
      </c>
      <c r="C12" s="12">
        <v>3</v>
      </c>
      <c r="D12" s="8">
        <v>0.92</v>
      </c>
      <c r="E12" s="12">
        <v>0</v>
      </c>
      <c r="F12" s="8">
        <v>0</v>
      </c>
      <c r="G12" s="12">
        <v>3</v>
      </c>
      <c r="H12" s="8">
        <v>2.1</v>
      </c>
      <c r="I12" s="12">
        <v>0</v>
      </c>
    </row>
    <row r="13" spans="2:9" ht="15" customHeight="1" x14ac:dyDescent="0.2">
      <c r="B13" t="s">
        <v>83</v>
      </c>
      <c r="C13" s="12">
        <v>57</v>
      </c>
      <c r="D13" s="8">
        <v>17.54</v>
      </c>
      <c r="E13" s="12">
        <v>41</v>
      </c>
      <c r="F13" s="8">
        <v>22.91</v>
      </c>
      <c r="G13" s="12">
        <v>16</v>
      </c>
      <c r="H13" s="8">
        <v>11.19</v>
      </c>
      <c r="I13" s="12">
        <v>0</v>
      </c>
    </row>
    <row r="14" spans="2:9" ht="15" customHeight="1" x14ac:dyDescent="0.2">
      <c r="B14" t="s">
        <v>84</v>
      </c>
      <c r="C14" s="12">
        <v>7</v>
      </c>
      <c r="D14" s="8">
        <v>2.15</v>
      </c>
      <c r="E14" s="12">
        <v>3</v>
      </c>
      <c r="F14" s="8">
        <v>1.68</v>
      </c>
      <c r="G14" s="12">
        <v>4</v>
      </c>
      <c r="H14" s="8">
        <v>2.8</v>
      </c>
      <c r="I14" s="12">
        <v>0</v>
      </c>
    </row>
    <row r="15" spans="2:9" ht="15" customHeight="1" x14ac:dyDescent="0.2">
      <c r="B15" t="s">
        <v>85</v>
      </c>
      <c r="C15" s="12">
        <v>20</v>
      </c>
      <c r="D15" s="8">
        <v>6.15</v>
      </c>
      <c r="E15" s="12">
        <v>17</v>
      </c>
      <c r="F15" s="8">
        <v>9.5</v>
      </c>
      <c r="G15" s="12">
        <v>3</v>
      </c>
      <c r="H15" s="8">
        <v>2.1</v>
      </c>
      <c r="I15" s="12">
        <v>0</v>
      </c>
    </row>
    <row r="16" spans="2:9" ht="15" customHeight="1" x14ac:dyDescent="0.2">
      <c r="B16" t="s">
        <v>86</v>
      </c>
      <c r="C16" s="12">
        <v>23</v>
      </c>
      <c r="D16" s="8">
        <v>7.08</v>
      </c>
      <c r="E16" s="12">
        <v>20</v>
      </c>
      <c r="F16" s="8">
        <v>11.17</v>
      </c>
      <c r="G16" s="12">
        <v>2</v>
      </c>
      <c r="H16" s="8">
        <v>1.4</v>
      </c>
      <c r="I16" s="12">
        <v>0</v>
      </c>
    </row>
    <row r="17" spans="2:9" ht="15" customHeight="1" x14ac:dyDescent="0.2">
      <c r="B17" t="s">
        <v>87</v>
      </c>
      <c r="C17" s="12">
        <v>12</v>
      </c>
      <c r="D17" s="8">
        <v>3.69</v>
      </c>
      <c r="E17" s="12">
        <v>8</v>
      </c>
      <c r="F17" s="8">
        <v>4.47</v>
      </c>
      <c r="G17" s="12">
        <v>3</v>
      </c>
      <c r="H17" s="8">
        <v>2.1</v>
      </c>
      <c r="I17" s="12">
        <v>0</v>
      </c>
    </row>
    <row r="18" spans="2:9" ht="15" customHeight="1" x14ac:dyDescent="0.2">
      <c r="B18" t="s">
        <v>88</v>
      </c>
      <c r="C18" s="12">
        <v>7</v>
      </c>
      <c r="D18" s="8">
        <v>2.15</v>
      </c>
      <c r="E18" s="12">
        <v>6</v>
      </c>
      <c r="F18" s="8">
        <v>3.35</v>
      </c>
      <c r="G18" s="12">
        <v>1</v>
      </c>
      <c r="H18" s="8">
        <v>0.7</v>
      </c>
      <c r="I18" s="12">
        <v>0</v>
      </c>
    </row>
    <row r="19" spans="2:9" ht="15" customHeight="1" x14ac:dyDescent="0.2">
      <c r="B19" t="s">
        <v>89</v>
      </c>
      <c r="C19" s="12">
        <v>13</v>
      </c>
      <c r="D19" s="8">
        <v>4</v>
      </c>
      <c r="E19" s="12">
        <v>7</v>
      </c>
      <c r="F19" s="8">
        <v>3.91</v>
      </c>
      <c r="G19" s="12">
        <v>6</v>
      </c>
      <c r="H19" s="8">
        <v>4.2</v>
      </c>
      <c r="I19" s="12">
        <v>0</v>
      </c>
    </row>
    <row r="20" spans="2:9" ht="15" customHeight="1" x14ac:dyDescent="0.2">
      <c r="B20" s="9" t="s">
        <v>271</v>
      </c>
      <c r="C20" s="12">
        <f>SUM(LTBL_27382[総数／事業所数])</f>
        <v>325</v>
      </c>
      <c r="E20" s="12">
        <f>SUBTOTAL(109,LTBL_27382[個人／事業所数])</f>
        <v>179</v>
      </c>
      <c r="G20" s="12">
        <f>SUBTOTAL(109,LTBL_27382[法人／事業所数])</f>
        <v>143</v>
      </c>
      <c r="I20" s="12">
        <f>SUBTOTAL(109,LTBL_27382[法人以外の団体／事業所数])</f>
        <v>0</v>
      </c>
    </row>
    <row r="21" spans="2:9" ht="15" customHeight="1" x14ac:dyDescent="0.2">
      <c r="E21" s="11">
        <f>LTBL_27382[[#Totals],[個人／事業所数]]/LTBL_27382[[#Totals],[総数／事業所数]]</f>
        <v>0.55076923076923079</v>
      </c>
      <c r="G21" s="11">
        <f>LTBL_27382[[#Totals],[法人／事業所数]]/LTBL_27382[[#Totals],[総数／事業所数]]</f>
        <v>0.44</v>
      </c>
      <c r="I21" s="11">
        <f>LTBL_27382[[#Totals],[法人以外の団体／事業所数]]/LTBL_27382[[#Totals],[総数／事業所数]]</f>
        <v>0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110</v>
      </c>
      <c r="C24" s="12">
        <v>54</v>
      </c>
      <c r="D24" s="8">
        <v>16.62</v>
      </c>
      <c r="E24" s="12">
        <v>41</v>
      </c>
      <c r="F24" s="8">
        <v>22.91</v>
      </c>
      <c r="G24" s="12">
        <v>13</v>
      </c>
      <c r="H24" s="8">
        <v>9.09</v>
      </c>
      <c r="I24" s="12">
        <v>0</v>
      </c>
    </row>
    <row r="25" spans="2:9" ht="15" customHeight="1" x14ac:dyDescent="0.2">
      <c r="B25" t="s">
        <v>98</v>
      </c>
      <c r="C25" s="12">
        <v>24</v>
      </c>
      <c r="D25" s="8">
        <v>7.38</v>
      </c>
      <c r="E25" s="12">
        <v>2</v>
      </c>
      <c r="F25" s="8">
        <v>1.1200000000000001</v>
      </c>
      <c r="G25" s="12">
        <v>22</v>
      </c>
      <c r="H25" s="8">
        <v>15.38</v>
      </c>
      <c r="I25" s="12">
        <v>0</v>
      </c>
    </row>
    <row r="26" spans="2:9" ht="15" customHeight="1" x14ac:dyDescent="0.2">
      <c r="B26" t="s">
        <v>99</v>
      </c>
      <c r="C26" s="12">
        <v>23</v>
      </c>
      <c r="D26" s="8">
        <v>7.08</v>
      </c>
      <c r="E26" s="12">
        <v>14</v>
      </c>
      <c r="F26" s="8">
        <v>7.82</v>
      </c>
      <c r="G26" s="12">
        <v>9</v>
      </c>
      <c r="H26" s="8">
        <v>6.29</v>
      </c>
      <c r="I26" s="12">
        <v>0</v>
      </c>
    </row>
    <row r="27" spans="2:9" ht="15" customHeight="1" x14ac:dyDescent="0.2">
      <c r="B27" t="s">
        <v>100</v>
      </c>
      <c r="C27" s="12">
        <v>18</v>
      </c>
      <c r="D27" s="8">
        <v>5.54</v>
      </c>
      <c r="E27" s="12">
        <v>5</v>
      </c>
      <c r="F27" s="8">
        <v>2.79</v>
      </c>
      <c r="G27" s="12">
        <v>13</v>
      </c>
      <c r="H27" s="8">
        <v>9.09</v>
      </c>
      <c r="I27" s="12">
        <v>0</v>
      </c>
    </row>
    <row r="28" spans="2:9" ht="15" customHeight="1" x14ac:dyDescent="0.2">
      <c r="B28" t="s">
        <v>113</v>
      </c>
      <c r="C28" s="12">
        <v>16</v>
      </c>
      <c r="D28" s="8">
        <v>4.92</v>
      </c>
      <c r="E28" s="12">
        <v>13</v>
      </c>
      <c r="F28" s="8">
        <v>7.26</v>
      </c>
      <c r="G28" s="12">
        <v>3</v>
      </c>
      <c r="H28" s="8">
        <v>2.1</v>
      </c>
      <c r="I28" s="12">
        <v>0</v>
      </c>
    </row>
    <row r="29" spans="2:9" ht="15" customHeight="1" x14ac:dyDescent="0.2">
      <c r="B29" t="s">
        <v>114</v>
      </c>
      <c r="C29" s="12">
        <v>16</v>
      </c>
      <c r="D29" s="8">
        <v>4.92</v>
      </c>
      <c r="E29" s="12">
        <v>15</v>
      </c>
      <c r="F29" s="8">
        <v>8.3800000000000008</v>
      </c>
      <c r="G29" s="12">
        <v>1</v>
      </c>
      <c r="H29" s="8">
        <v>0.7</v>
      </c>
      <c r="I29" s="12">
        <v>0</v>
      </c>
    </row>
    <row r="30" spans="2:9" ht="15" customHeight="1" x14ac:dyDescent="0.2">
      <c r="B30" t="s">
        <v>106</v>
      </c>
      <c r="C30" s="12">
        <v>14</v>
      </c>
      <c r="D30" s="8">
        <v>4.3099999999999996</v>
      </c>
      <c r="E30" s="12">
        <v>9</v>
      </c>
      <c r="F30" s="8">
        <v>5.03</v>
      </c>
      <c r="G30" s="12">
        <v>5</v>
      </c>
      <c r="H30" s="8">
        <v>3.5</v>
      </c>
      <c r="I30" s="12">
        <v>0</v>
      </c>
    </row>
    <row r="31" spans="2:9" ht="15" customHeight="1" x14ac:dyDescent="0.2">
      <c r="B31" t="s">
        <v>108</v>
      </c>
      <c r="C31" s="12">
        <v>14</v>
      </c>
      <c r="D31" s="8">
        <v>4.3099999999999996</v>
      </c>
      <c r="E31" s="12">
        <v>6</v>
      </c>
      <c r="F31" s="8">
        <v>3.35</v>
      </c>
      <c r="G31" s="12">
        <v>8</v>
      </c>
      <c r="H31" s="8">
        <v>5.59</v>
      </c>
      <c r="I31" s="12">
        <v>0</v>
      </c>
    </row>
    <row r="32" spans="2:9" ht="15" customHeight="1" x14ac:dyDescent="0.2">
      <c r="B32" t="s">
        <v>107</v>
      </c>
      <c r="C32" s="12">
        <v>13</v>
      </c>
      <c r="D32" s="8">
        <v>4</v>
      </c>
      <c r="E32" s="12">
        <v>12</v>
      </c>
      <c r="F32" s="8">
        <v>6.7</v>
      </c>
      <c r="G32" s="12">
        <v>1</v>
      </c>
      <c r="H32" s="8">
        <v>0.7</v>
      </c>
      <c r="I32" s="12">
        <v>0</v>
      </c>
    </row>
    <row r="33" spans="2:9" ht="15" customHeight="1" x14ac:dyDescent="0.2">
      <c r="B33" t="s">
        <v>101</v>
      </c>
      <c r="C33" s="12">
        <v>12</v>
      </c>
      <c r="D33" s="8">
        <v>3.69</v>
      </c>
      <c r="E33" s="12">
        <v>5</v>
      </c>
      <c r="F33" s="8">
        <v>2.79</v>
      </c>
      <c r="G33" s="12">
        <v>7</v>
      </c>
      <c r="H33" s="8">
        <v>4.9000000000000004</v>
      </c>
      <c r="I33" s="12">
        <v>0</v>
      </c>
    </row>
    <row r="34" spans="2:9" ht="15" customHeight="1" x14ac:dyDescent="0.2">
      <c r="B34" t="s">
        <v>115</v>
      </c>
      <c r="C34" s="12">
        <v>12</v>
      </c>
      <c r="D34" s="8">
        <v>3.69</v>
      </c>
      <c r="E34" s="12">
        <v>8</v>
      </c>
      <c r="F34" s="8">
        <v>4.47</v>
      </c>
      <c r="G34" s="12">
        <v>3</v>
      </c>
      <c r="H34" s="8">
        <v>2.1</v>
      </c>
      <c r="I34" s="12">
        <v>0</v>
      </c>
    </row>
    <row r="35" spans="2:9" ht="15" customHeight="1" x14ac:dyDescent="0.2">
      <c r="B35" t="s">
        <v>129</v>
      </c>
      <c r="C35" s="12">
        <v>7</v>
      </c>
      <c r="D35" s="8">
        <v>2.15</v>
      </c>
      <c r="E35" s="12">
        <v>7</v>
      </c>
      <c r="F35" s="8">
        <v>3.91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131</v>
      </c>
      <c r="C36" s="12">
        <v>6</v>
      </c>
      <c r="D36" s="8">
        <v>1.85</v>
      </c>
      <c r="E36" s="12">
        <v>3</v>
      </c>
      <c r="F36" s="8">
        <v>1.68</v>
      </c>
      <c r="G36" s="12">
        <v>3</v>
      </c>
      <c r="H36" s="8">
        <v>2.1</v>
      </c>
      <c r="I36" s="12">
        <v>0</v>
      </c>
    </row>
    <row r="37" spans="2:9" ht="15" customHeight="1" x14ac:dyDescent="0.2">
      <c r="B37" t="s">
        <v>135</v>
      </c>
      <c r="C37" s="12">
        <v>6</v>
      </c>
      <c r="D37" s="8">
        <v>1.85</v>
      </c>
      <c r="E37" s="12">
        <v>3</v>
      </c>
      <c r="F37" s="8">
        <v>1.68</v>
      </c>
      <c r="G37" s="12">
        <v>3</v>
      </c>
      <c r="H37" s="8">
        <v>2.1</v>
      </c>
      <c r="I37" s="12">
        <v>0</v>
      </c>
    </row>
    <row r="38" spans="2:9" ht="15" customHeight="1" x14ac:dyDescent="0.2">
      <c r="B38" t="s">
        <v>116</v>
      </c>
      <c r="C38" s="12">
        <v>6</v>
      </c>
      <c r="D38" s="8">
        <v>1.85</v>
      </c>
      <c r="E38" s="12">
        <v>6</v>
      </c>
      <c r="F38" s="8">
        <v>3.35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119</v>
      </c>
      <c r="C39" s="12">
        <v>5</v>
      </c>
      <c r="D39" s="8">
        <v>1.54</v>
      </c>
      <c r="E39" s="12">
        <v>0</v>
      </c>
      <c r="F39" s="8">
        <v>0</v>
      </c>
      <c r="G39" s="12">
        <v>5</v>
      </c>
      <c r="H39" s="8">
        <v>3.5</v>
      </c>
      <c r="I39" s="12">
        <v>0</v>
      </c>
    </row>
    <row r="40" spans="2:9" ht="15" customHeight="1" x14ac:dyDescent="0.2">
      <c r="B40" t="s">
        <v>120</v>
      </c>
      <c r="C40" s="12">
        <v>4</v>
      </c>
      <c r="D40" s="8">
        <v>1.23</v>
      </c>
      <c r="E40" s="12">
        <v>2</v>
      </c>
      <c r="F40" s="8">
        <v>1.1200000000000001</v>
      </c>
      <c r="G40" s="12">
        <v>2</v>
      </c>
      <c r="H40" s="8">
        <v>1.4</v>
      </c>
      <c r="I40" s="12">
        <v>0</v>
      </c>
    </row>
    <row r="41" spans="2:9" ht="15" customHeight="1" x14ac:dyDescent="0.2">
      <c r="B41" t="s">
        <v>142</v>
      </c>
      <c r="C41" s="12">
        <v>4</v>
      </c>
      <c r="D41" s="8">
        <v>1.23</v>
      </c>
      <c r="E41" s="12">
        <v>3</v>
      </c>
      <c r="F41" s="8">
        <v>1.68</v>
      </c>
      <c r="G41" s="12">
        <v>1</v>
      </c>
      <c r="H41" s="8">
        <v>0.7</v>
      </c>
      <c r="I41" s="12">
        <v>0</v>
      </c>
    </row>
    <row r="42" spans="2:9" ht="15" customHeight="1" x14ac:dyDescent="0.2">
      <c r="B42" t="s">
        <v>132</v>
      </c>
      <c r="C42" s="12">
        <v>4</v>
      </c>
      <c r="D42" s="8">
        <v>1.23</v>
      </c>
      <c r="E42" s="12">
        <v>1</v>
      </c>
      <c r="F42" s="8">
        <v>0.56000000000000005</v>
      </c>
      <c r="G42" s="12">
        <v>3</v>
      </c>
      <c r="H42" s="8">
        <v>2.1</v>
      </c>
      <c r="I42" s="12">
        <v>0</v>
      </c>
    </row>
    <row r="43" spans="2:9" ht="15" customHeight="1" x14ac:dyDescent="0.2">
      <c r="B43" t="s">
        <v>127</v>
      </c>
      <c r="C43" s="12">
        <v>4</v>
      </c>
      <c r="D43" s="8">
        <v>1.23</v>
      </c>
      <c r="E43" s="12">
        <v>1</v>
      </c>
      <c r="F43" s="8">
        <v>0.56000000000000005</v>
      </c>
      <c r="G43" s="12">
        <v>3</v>
      </c>
      <c r="H43" s="8">
        <v>2.1</v>
      </c>
      <c r="I43" s="12">
        <v>0</v>
      </c>
    </row>
    <row r="44" spans="2:9" ht="15" customHeight="1" x14ac:dyDescent="0.2">
      <c r="B44" t="s">
        <v>118</v>
      </c>
      <c r="C44" s="12">
        <v>4</v>
      </c>
      <c r="D44" s="8">
        <v>1.23</v>
      </c>
      <c r="E44" s="12">
        <v>1</v>
      </c>
      <c r="F44" s="8">
        <v>0.56000000000000005</v>
      </c>
      <c r="G44" s="12">
        <v>3</v>
      </c>
      <c r="H44" s="8">
        <v>2.1</v>
      </c>
      <c r="I44" s="12">
        <v>0</v>
      </c>
    </row>
    <row r="45" spans="2:9" ht="15" customHeight="1" x14ac:dyDescent="0.2">
      <c r="B45" t="s">
        <v>104</v>
      </c>
      <c r="C45" s="12">
        <v>4</v>
      </c>
      <c r="D45" s="8">
        <v>1.23</v>
      </c>
      <c r="E45" s="12">
        <v>0</v>
      </c>
      <c r="F45" s="8">
        <v>0</v>
      </c>
      <c r="G45" s="12">
        <v>4</v>
      </c>
      <c r="H45" s="8">
        <v>2.8</v>
      </c>
      <c r="I45" s="12">
        <v>0</v>
      </c>
    </row>
    <row r="46" spans="2:9" ht="15" customHeight="1" x14ac:dyDescent="0.2">
      <c r="B46" t="s">
        <v>111</v>
      </c>
      <c r="C46" s="12">
        <v>4</v>
      </c>
      <c r="D46" s="8">
        <v>1.23</v>
      </c>
      <c r="E46" s="12">
        <v>2</v>
      </c>
      <c r="F46" s="8">
        <v>1.1200000000000001</v>
      </c>
      <c r="G46" s="12">
        <v>2</v>
      </c>
      <c r="H46" s="8">
        <v>1.4</v>
      </c>
      <c r="I46" s="12">
        <v>0</v>
      </c>
    </row>
    <row r="47" spans="2:9" ht="15" customHeight="1" x14ac:dyDescent="0.2">
      <c r="B47" t="s">
        <v>145</v>
      </c>
      <c r="C47" s="12">
        <v>4</v>
      </c>
      <c r="D47" s="8">
        <v>1.23</v>
      </c>
      <c r="E47" s="12">
        <v>2</v>
      </c>
      <c r="F47" s="8">
        <v>1.1200000000000001</v>
      </c>
      <c r="G47" s="12">
        <v>1</v>
      </c>
      <c r="H47" s="8">
        <v>0.7</v>
      </c>
      <c r="I47" s="12">
        <v>0</v>
      </c>
    </row>
    <row r="50" spans="2:9" ht="33" customHeight="1" x14ac:dyDescent="0.2">
      <c r="B50" t="s">
        <v>273</v>
      </c>
      <c r="C50" s="10" t="s">
        <v>91</v>
      </c>
      <c r="D50" s="10" t="s">
        <v>92</v>
      </c>
      <c r="E50" s="10" t="s">
        <v>93</v>
      </c>
      <c r="F50" s="10" t="s">
        <v>94</v>
      </c>
      <c r="G50" s="10" t="s">
        <v>95</v>
      </c>
      <c r="H50" s="10" t="s">
        <v>96</v>
      </c>
      <c r="I50" s="10" t="s">
        <v>97</v>
      </c>
    </row>
    <row r="51" spans="2:9" ht="15" customHeight="1" x14ac:dyDescent="0.2">
      <c r="B51" t="s">
        <v>160</v>
      </c>
      <c r="C51" s="12">
        <v>33</v>
      </c>
      <c r="D51" s="8">
        <v>10.15</v>
      </c>
      <c r="E51" s="12">
        <v>27</v>
      </c>
      <c r="F51" s="8">
        <v>15.08</v>
      </c>
      <c r="G51" s="12">
        <v>6</v>
      </c>
      <c r="H51" s="8">
        <v>4.2</v>
      </c>
      <c r="I51" s="12">
        <v>0</v>
      </c>
    </row>
    <row r="52" spans="2:9" ht="15" customHeight="1" x14ac:dyDescent="0.2">
      <c r="B52" t="s">
        <v>190</v>
      </c>
      <c r="C52" s="12">
        <v>13</v>
      </c>
      <c r="D52" s="8">
        <v>4</v>
      </c>
      <c r="E52" s="12">
        <v>0</v>
      </c>
      <c r="F52" s="8">
        <v>0</v>
      </c>
      <c r="G52" s="12">
        <v>13</v>
      </c>
      <c r="H52" s="8">
        <v>9.09</v>
      </c>
      <c r="I52" s="12">
        <v>0</v>
      </c>
    </row>
    <row r="53" spans="2:9" ht="15" customHeight="1" x14ac:dyDescent="0.2">
      <c r="B53" t="s">
        <v>215</v>
      </c>
      <c r="C53" s="12">
        <v>11</v>
      </c>
      <c r="D53" s="8">
        <v>3.38</v>
      </c>
      <c r="E53" s="12">
        <v>10</v>
      </c>
      <c r="F53" s="8">
        <v>5.59</v>
      </c>
      <c r="G53" s="12">
        <v>1</v>
      </c>
      <c r="H53" s="8">
        <v>0.7</v>
      </c>
      <c r="I53" s="12">
        <v>0</v>
      </c>
    </row>
    <row r="54" spans="2:9" ht="15" customHeight="1" x14ac:dyDescent="0.2">
      <c r="B54" t="s">
        <v>174</v>
      </c>
      <c r="C54" s="12">
        <v>10</v>
      </c>
      <c r="D54" s="8">
        <v>3.08</v>
      </c>
      <c r="E54" s="12">
        <v>4</v>
      </c>
      <c r="F54" s="8">
        <v>2.23</v>
      </c>
      <c r="G54" s="12">
        <v>6</v>
      </c>
      <c r="H54" s="8">
        <v>4.2</v>
      </c>
      <c r="I54" s="12">
        <v>0</v>
      </c>
    </row>
    <row r="55" spans="2:9" ht="15" customHeight="1" x14ac:dyDescent="0.2">
      <c r="B55" t="s">
        <v>161</v>
      </c>
      <c r="C55" s="12">
        <v>10</v>
      </c>
      <c r="D55" s="8">
        <v>3.08</v>
      </c>
      <c r="E55" s="12">
        <v>9</v>
      </c>
      <c r="F55" s="8">
        <v>5.03</v>
      </c>
      <c r="G55" s="12">
        <v>1</v>
      </c>
      <c r="H55" s="8">
        <v>0.7</v>
      </c>
      <c r="I55" s="12">
        <v>0</v>
      </c>
    </row>
    <row r="56" spans="2:9" ht="15" customHeight="1" x14ac:dyDescent="0.2">
      <c r="B56" t="s">
        <v>159</v>
      </c>
      <c r="C56" s="12">
        <v>9</v>
      </c>
      <c r="D56" s="8">
        <v>2.77</v>
      </c>
      <c r="E56" s="12">
        <v>4</v>
      </c>
      <c r="F56" s="8">
        <v>2.23</v>
      </c>
      <c r="G56" s="12">
        <v>5</v>
      </c>
      <c r="H56" s="8">
        <v>3.5</v>
      </c>
      <c r="I56" s="12">
        <v>0</v>
      </c>
    </row>
    <row r="57" spans="2:9" ht="15" customHeight="1" x14ac:dyDescent="0.2">
      <c r="B57" t="s">
        <v>225</v>
      </c>
      <c r="C57" s="12">
        <v>7</v>
      </c>
      <c r="D57" s="8">
        <v>2.15</v>
      </c>
      <c r="E57" s="12">
        <v>3</v>
      </c>
      <c r="F57" s="8">
        <v>1.68</v>
      </c>
      <c r="G57" s="12">
        <v>4</v>
      </c>
      <c r="H57" s="8">
        <v>2.8</v>
      </c>
      <c r="I57" s="12">
        <v>0</v>
      </c>
    </row>
    <row r="58" spans="2:9" ht="15" customHeight="1" x14ac:dyDescent="0.2">
      <c r="B58" t="s">
        <v>169</v>
      </c>
      <c r="C58" s="12">
        <v>7</v>
      </c>
      <c r="D58" s="8">
        <v>2.15</v>
      </c>
      <c r="E58" s="12">
        <v>7</v>
      </c>
      <c r="F58" s="8">
        <v>3.91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198</v>
      </c>
      <c r="C59" s="12">
        <v>7</v>
      </c>
      <c r="D59" s="8">
        <v>2.15</v>
      </c>
      <c r="E59" s="12">
        <v>7</v>
      </c>
      <c r="F59" s="8">
        <v>3.91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261</v>
      </c>
      <c r="C60" s="12">
        <v>6</v>
      </c>
      <c r="D60" s="8">
        <v>1.85</v>
      </c>
      <c r="E60" s="12">
        <v>3</v>
      </c>
      <c r="F60" s="8">
        <v>1.68</v>
      </c>
      <c r="G60" s="12">
        <v>3</v>
      </c>
      <c r="H60" s="8">
        <v>2.1</v>
      </c>
      <c r="I60" s="12">
        <v>0</v>
      </c>
    </row>
    <row r="61" spans="2:9" ht="15" customHeight="1" x14ac:dyDescent="0.2">
      <c r="B61" t="s">
        <v>168</v>
      </c>
      <c r="C61" s="12">
        <v>6</v>
      </c>
      <c r="D61" s="8">
        <v>1.85</v>
      </c>
      <c r="E61" s="12">
        <v>6</v>
      </c>
      <c r="F61" s="8">
        <v>3.35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152</v>
      </c>
      <c r="C62" s="12">
        <v>5</v>
      </c>
      <c r="D62" s="8">
        <v>1.54</v>
      </c>
      <c r="E62" s="12">
        <v>1</v>
      </c>
      <c r="F62" s="8">
        <v>0.56000000000000005</v>
      </c>
      <c r="G62" s="12">
        <v>4</v>
      </c>
      <c r="H62" s="8">
        <v>2.8</v>
      </c>
      <c r="I62" s="12">
        <v>0</v>
      </c>
    </row>
    <row r="63" spans="2:9" ht="15" customHeight="1" x14ac:dyDescent="0.2">
      <c r="B63" t="s">
        <v>153</v>
      </c>
      <c r="C63" s="12">
        <v>5</v>
      </c>
      <c r="D63" s="8">
        <v>1.54</v>
      </c>
      <c r="E63" s="12">
        <v>0</v>
      </c>
      <c r="F63" s="8">
        <v>0</v>
      </c>
      <c r="G63" s="12">
        <v>5</v>
      </c>
      <c r="H63" s="8">
        <v>3.5</v>
      </c>
      <c r="I63" s="12">
        <v>0</v>
      </c>
    </row>
    <row r="64" spans="2:9" ht="15" customHeight="1" x14ac:dyDescent="0.2">
      <c r="B64" t="s">
        <v>156</v>
      </c>
      <c r="C64" s="12">
        <v>5</v>
      </c>
      <c r="D64" s="8">
        <v>1.54</v>
      </c>
      <c r="E64" s="12">
        <v>5</v>
      </c>
      <c r="F64" s="8">
        <v>2.79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167</v>
      </c>
      <c r="C65" s="12">
        <v>5</v>
      </c>
      <c r="D65" s="8">
        <v>1.54</v>
      </c>
      <c r="E65" s="12">
        <v>4</v>
      </c>
      <c r="F65" s="8">
        <v>2.23</v>
      </c>
      <c r="G65" s="12">
        <v>1</v>
      </c>
      <c r="H65" s="8">
        <v>0.7</v>
      </c>
      <c r="I65" s="12">
        <v>0</v>
      </c>
    </row>
    <row r="66" spans="2:9" ht="15" customHeight="1" x14ac:dyDescent="0.2">
      <c r="B66" t="s">
        <v>170</v>
      </c>
      <c r="C66" s="12">
        <v>5</v>
      </c>
      <c r="D66" s="8">
        <v>1.54</v>
      </c>
      <c r="E66" s="12">
        <v>5</v>
      </c>
      <c r="F66" s="8">
        <v>2.79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173</v>
      </c>
      <c r="C67" s="12">
        <v>5</v>
      </c>
      <c r="D67" s="8">
        <v>1.54</v>
      </c>
      <c r="E67" s="12">
        <v>0</v>
      </c>
      <c r="F67" s="8">
        <v>0</v>
      </c>
      <c r="G67" s="12">
        <v>5</v>
      </c>
      <c r="H67" s="8">
        <v>3.5</v>
      </c>
      <c r="I67" s="12">
        <v>0</v>
      </c>
    </row>
    <row r="68" spans="2:9" ht="15" customHeight="1" x14ac:dyDescent="0.2">
      <c r="B68" t="s">
        <v>191</v>
      </c>
      <c r="C68" s="12">
        <v>4</v>
      </c>
      <c r="D68" s="8">
        <v>1.23</v>
      </c>
      <c r="E68" s="12">
        <v>2</v>
      </c>
      <c r="F68" s="8">
        <v>1.1200000000000001</v>
      </c>
      <c r="G68" s="12">
        <v>2</v>
      </c>
      <c r="H68" s="8">
        <v>1.4</v>
      </c>
      <c r="I68" s="12">
        <v>0</v>
      </c>
    </row>
    <row r="69" spans="2:9" ht="15" customHeight="1" x14ac:dyDescent="0.2">
      <c r="B69" t="s">
        <v>229</v>
      </c>
      <c r="C69" s="12">
        <v>4</v>
      </c>
      <c r="D69" s="8">
        <v>1.23</v>
      </c>
      <c r="E69" s="12">
        <v>2</v>
      </c>
      <c r="F69" s="8">
        <v>1.1200000000000001</v>
      </c>
      <c r="G69" s="12">
        <v>2</v>
      </c>
      <c r="H69" s="8">
        <v>1.4</v>
      </c>
      <c r="I69" s="12">
        <v>0</v>
      </c>
    </row>
    <row r="70" spans="2:9" ht="15" customHeight="1" x14ac:dyDescent="0.2">
      <c r="B70" t="s">
        <v>192</v>
      </c>
      <c r="C70" s="12">
        <v>4</v>
      </c>
      <c r="D70" s="8">
        <v>1.23</v>
      </c>
      <c r="E70" s="12">
        <v>2</v>
      </c>
      <c r="F70" s="8">
        <v>1.1200000000000001</v>
      </c>
      <c r="G70" s="12">
        <v>2</v>
      </c>
      <c r="H70" s="8">
        <v>1.4</v>
      </c>
      <c r="I70" s="12">
        <v>0</v>
      </c>
    </row>
    <row r="71" spans="2:9" ht="15" customHeight="1" x14ac:dyDescent="0.2">
      <c r="B71" t="s">
        <v>245</v>
      </c>
      <c r="C71" s="12">
        <v>4</v>
      </c>
      <c r="D71" s="8">
        <v>1.23</v>
      </c>
      <c r="E71" s="12">
        <v>3</v>
      </c>
      <c r="F71" s="8">
        <v>1.68</v>
      </c>
      <c r="G71" s="12">
        <v>1</v>
      </c>
      <c r="H71" s="8">
        <v>0.7</v>
      </c>
      <c r="I71" s="12">
        <v>0</v>
      </c>
    </row>
    <row r="72" spans="2:9" ht="15" customHeight="1" x14ac:dyDescent="0.2">
      <c r="B72" t="s">
        <v>157</v>
      </c>
      <c r="C72" s="12">
        <v>4</v>
      </c>
      <c r="D72" s="8">
        <v>1.23</v>
      </c>
      <c r="E72" s="12">
        <v>3</v>
      </c>
      <c r="F72" s="8">
        <v>1.68</v>
      </c>
      <c r="G72" s="12">
        <v>1</v>
      </c>
      <c r="H72" s="8">
        <v>0.7</v>
      </c>
      <c r="I72" s="12">
        <v>0</v>
      </c>
    </row>
    <row r="73" spans="2:9" ht="15" customHeight="1" x14ac:dyDescent="0.2">
      <c r="B73" t="s">
        <v>171</v>
      </c>
      <c r="C73" s="12">
        <v>4</v>
      </c>
      <c r="D73" s="8">
        <v>1.23</v>
      </c>
      <c r="E73" s="12">
        <v>4</v>
      </c>
      <c r="F73" s="8">
        <v>2.23</v>
      </c>
      <c r="G73" s="12">
        <v>0</v>
      </c>
      <c r="H73" s="8">
        <v>0</v>
      </c>
      <c r="I73" s="12">
        <v>0</v>
      </c>
    </row>
    <row r="75" spans="2:9" ht="15" customHeight="1" x14ac:dyDescent="0.2">
      <c r="B75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99F42-A93E-472C-BB02-1DFC826B9634}">
  <sheetPr>
    <pageSetUpPr fitToPage="1"/>
  </sheetPr>
  <dimension ref="B2:I7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348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24</v>
      </c>
      <c r="D6" s="8">
        <v>20.170000000000002</v>
      </c>
      <c r="E6" s="12">
        <v>11</v>
      </c>
      <c r="F6" s="8">
        <v>17.190000000000001</v>
      </c>
      <c r="G6" s="12">
        <v>13</v>
      </c>
      <c r="H6" s="8">
        <v>24.53</v>
      </c>
      <c r="I6" s="12">
        <v>0</v>
      </c>
    </row>
    <row r="7" spans="2:9" ht="15" customHeight="1" x14ac:dyDescent="0.2">
      <c r="B7" t="s">
        <v>77</v>
      </c>
      <c r="C7" s="12">
        <v>29</v>
      </c>
      <c r="D7" s="8">
        <v>24.37</v>
      </c>
      <c r="E7" s="12">
        <v>16</v>
      </c>
      <c r="F7" s="8">
        <v>25</v>
      </c>
      <c r="G7" s="12">
        <v>13</v>
      </c>
      <c r="H7" s="8">
        <v>24.53</v>
      </c>
      <c r="I7" s="12">
        <v>0</v>
      </c>
    </row>
    <row r="8" spans="2:9" ht="15" customHeight="1" x14ac:dyDescent="0.2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80</v>
      </c>
      <c r="C10" s="12">
        <v>3</v>
      </c>
      <c r="D10" s="8">
        <v>2.52</v>
      </c>
      <c r="E10" s="12">
        <v>1</v>
      </c>
      <c r="F10" s="8">
        <v>1.56</v>
      </c>
      <c r="G10" s="12">
        <v>2</v>
      </c>
      <c r="H10" s="8">
        <v>3.77</v>
      </c>
      <c r="I10" s="12">
        <v>0</v>
      </c>
    </row>
    <row r="11" spans="2:9" ht="15" customHeight="1" x14ac:dyDescent="0.2">
      <c r="B11" t="s">
        <v>81</v>
      </c>
      <c r="C11" s="12">
        <v>23</v>
      </c>
      <c r="D11" s="8">
        <v>19.329999999999998</v>
      </c>
      <c r="E11" s="12">
        <v>10</v>
      </c>
      <c r="F11" s="8">
        <v>15.63</v>
      </c>
      <c r="G11" s="12">
        <v>13</v>
      </c>
      <c r="H11" s="8">
        <v>24.53</v>
      </c>
      <c r="I11" s="12">
        <v>0</v>
      </c>
    </row>
    <row r="12" spans="2:9" ht="15" customHeight="1" x14ac:dyDescent="0.2">
      <c r="B12" t="s">
        <v>82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83</v>
      </c>
      <c r="C13" s="12">
        <v>13</v>
      </c>
      <c r="D13" s="8">
        <v>10.92</v>
      </c>
      <c r="E13" s="12">
        <v>6</v>
      </c>
      <c r="F13" s="8">
        <v>9.3800000000000008</v>
      </c>
      <c r="G13" s="12">
        <v>7</v>
      </c>
      <c r="H13" s="8">
        <v>13.21</v>
      </c>
      <c r="I13" s="12">
        <v>0</v>
      </c>
    </row>
    <row r="14" spans="2:9" ht="15" customHeight="1" x14ac:dyDescent="0.2">
      <c r="B14" t="s">
        <v>84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85</v>
      </c>
      <c r="C15" s="12">
        <v>9</v>
      </c>
      <c r="D15" s="8">
        <v>7.56</v>
      </c>
      <c r="E15" s="12">
        <v>8</v>
      </c>
      <c r="F15" s="8">
        <v>12.5</v>
      </c>
      <c r="G15" s="12">
        <v>0</v>
      </c>
      <c r="H15" s="8">
        <v>0</v>
      </c>
      <c r="I15" s="12">
        <v>0</v>
      </c>
    </row>
    <row r="16" spans="2:9" ht="15" customHeight="1" x14ac:dyDescent="0.2">
      <c r="B16" t="s">
        <v>86</v>
      </c>
      <c r="C16" s="12">
        <v>5</v>
      </c>
      <c r="D16" s="8">
        <v>4.2</v>
      </c>
      <c r="E16" s="12">
        <v>4</v>
      </c>
      <c r="F16" s="8">
        <v>6.25</v>
      </c>
      <c r="G16" s="12">
        <v>1</v>
      </c>
      <c r="H16" s="8">
        <v>1.89</v>
      </c>
      <c r="I16" s="12">
        <v>0</v>
      </c>
    </row>
    <row r="17" spans="2:9" ht="15" customHeight="1" x14ac:dyDescent="0.2">
      <c r="B17" t="s">
        <v>87</v>
      </c>
      <c r="C17" s="12">
        <v>5</v>
      </c>
      <c r="D17" s="8">
        <v>4.2</v>
      </c>
      <c r="E17" s="12">
        <v>4</v>
      </c>
      <c r="F17" s="8">
        <v>6.25</v>
      </c>
      <c r="G17" s="12">
        <v>1</v>
      </c>
      <c r="H17" s="8">
        <v>1.89</v>
      </c>
      <c r="I17" s="12">
        <v>0</v>
      </c>
    </row>
    <row r="18" spans="2:9" ht="15" customHeight="1" x14ac:dyDescent="0.2">
      <c r="B18" t="s">
        <v>88</v>
      </c>
      <c r="C18" s="12">
        <v>2</v>
      </c>
      <c r="D18" s="8">
        <v>1.68</v>
      </c>
      <c r="E18" s="12">
        <v>2</v>
      </c>
      <c r="F18" s="8">
        <v>3.13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89</v>
      </c>
      <c r="C19" s="12">
        <v>6</v>
      </c>
      <c r="D19" s="8">
        <v>5.04</v>
      </c>
      <c r="E19" s="12">
        <v>2</v>
      </c>
      <c r="F19" s="8">
        <v>3.13</v>
      </c>
      <c r="G19" s="12">
        <v>3</v>
      </c>
      <c r="H19" s="8">
        <v>5.66</v>
      </c>
      <c r="I19" s="12">
        <v>1</v>
      </c>
    </row>
    <row r="20" spans="2:9" ht="15" customHeight="1" x14ac:dyDescent="0.2">
      <c r="B20" s="9" t="s">
        <v>271</v>
      </c>
      <c r="C20" s="12">
        <f>SUM(LTBL_27383[総数／事業所数])</f>
        <v>119</v>
      </c>
      <c r="E20" s="12">
        <f>SUBTOTAL(109,LTBL_27383[個人／事業所数])</f>
        <v>64</v>
      </c>
      <c r="G20" s="12">
        <f>SUBTOTAL(109,LTBL_27383[法人／事業所数])</f>
        <v>53</v>
      </c>
      <c r="I20" s="12">
        <f>SUBTOTAL(109,LTBL_27383[法人以外の団体／事業所数])</f>
        <v>1</v>
      </c>
    </row>
    <row r="21" spans="2:9" ht="15" customHeight="1" x14ac:dyDescent="0.2">
      <c r="E21" s="11">
        <f>LTBL_27383[[#Totals],[個人／事業所数]]/LTBL_27383[[#Totals],[総数／事業所数]]</f>
        <v>0.53781512605042014</v>
      </c>
      <c r="G21" s="11">
        <f>LTBL_27383[[#Totals],[法人／事業所数]]/LTBL_27383[[#Totals],[総数／事業所数]]</f>
        <v>0.44537815126050423</v>
      </c>
      <c r="I21" s="11">
        <f>LTBL_27383[[#Totals],[法人以外の団体／事業所数]]/LTBL_27383[[#Totals],[総数／事業所数]]</f>
        <v>8.4033613445378148E-3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98</v>
      </c>
      <c r="C24" s="12">
        <v>19</v>
      </c>
      <c r="D24" s="8">
        <v>15.97</v>
      </c>
      <c r="E24" s="12">
        <v>9</v>
      </c>
      <c r="F24" s="8">
        <v>14.06</v>
      </c>
      <c r="G24" s="12">
        <v>10</v>
      </c>
      <c r="H24" s="8">
        <v>18.87</v>
      </c>
      <c r="I24" s="12">
        <v>0</v>
      </c>
    </row>
    <row r="25" spans="2:9" ht="15" customHeight="1" x14ac:dyDescent="0.2">
      <c r="B25" t="s">
        <v>110</v>
      </c>
      <c r="C25" s="12">
        <v>12</v>
      </c>
      <c r="D25" s="8">
        <v>10.08</v>
      </c>
      <c r="E25" s="12">
        <v>6</v>
      </c>
      <c r="F25" s="8">
        <v>9.3800000000000008</v>
      </c>
      <c r="G25" s="12">
        <v>6</v>
      </c>
      <c r="H25" s="8">
        <v>11.32</v>
      </c>
      <c r="I25" s="12">
        <v>0</v>
      </c>
    </row>
    <row r="26" spans="2:9" ht="15" customHeight="1" x14ac:dyDescent="0.2">
      <c r="B26" t="s">
        <v>132</v>
      </c>
      <c r="C26" s="12">
        <v>7</v>
      </c>
      <c r="D26" s="8">
        <v>5.88</v>
      </c>
      <c r="E26" s="12">
        <v>4</v>
      </c>
      <c r="F26" s="8">
        <v>6.25</v>
      </c>
      <c r="G26" s="12">
        <v>3</v>
      </c>
      <c r="H26" s="8">
        <v>5.66</v>
      </c>
      <c r="I26" s="12">
        <v>0</v>
      </c>
    </row>
    <row r="27" spans="2:9" ht="15" customHeight="1" x14ac:dyDescent="0.2">
      <c r="B27" t="s">
        <v>106</v>
      </c>
      <c r="C27" s="12">
        <v>7</v>
      </c>
      <c r="D27" s="8">
        <v>5.88</v>
      </c>
      <c r="E27" s="12">
        <v>5</v>
      </c>
      <c r="F27" s="8">
        <v>7.81</v>
      </c>
      <c r="G27" s="12">
        <v>2</v>
      </c>
      <c r="H27" s="8">
        <v>3.77</v>
      </c>
      <c r="I27" s="12">
        <v>0</v>
      </c>
    </row>
    <row r="28" spans="2:9" ht="15" customHeight="1" x14ac:dyDescent="0.2">
      <c r="B28" t="s">
        <v>113</v>
      </c>
      <c r="C28" s="12">
        <v>7</v>
      </c>
      <c r="D28" s="8">
        <v>5.88</v>
      </c>
      <c r="E28" s="12">
        <v>7</v>
      </c>
      <c r="F28" s="8">
        <v>10.94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120</v>
      </c>
      <c r="C29" s="12">
        <v>5</v>
      </c>
      <c r="D29" s="8">
        <v>4.2</v>
      </c>
      <c r="E29" s="12">
        <v>3</v>
      </c>
      <c r="F29" s="8">
        <v>4.6900000000000004</v>
      </c>
      <c r="G29" s="12">
        <v>2</v>
      </c>
      <c r="H29" s="8">
        <v>3.77</v>
      </c>
      <c r="I29" s="12">
        <v>0</v>
      </c>
    </row>
    <row r="30" spans="2:9" ht="15" customHeight="1" x14ac:dyDescent="0.2">
      <c r="B30" t="s">
        <v>102</v>
      </c>
      <c r="C30" s="12">
        <v>5</v>
      </c>
      <c r="D30" s="8">
        <v>4.2</v>
      </c>
      <c r="E30" s="12">
        <v>1</v>
      </c>
      <c r="F30" s="8">
        <v>1.56</v>
      </c>
      <c r="G30" s="12">
        <v>4</v>
      </c>
      <c r="H30" s="8">
        <v>7.55</v>
      </c>
      <c r="I30" s="12">
        <v>0</v>
      </c>
    </row>
    <row r="31" spans="2:9" ht="15" customHeight="1" x14ac:dyDescent="0.2">
      <c r="B31" t="s">
        <v>108</v>
      </c>
      <c r="C31" s="12">
        <v>5</v>
      </c>
      <c r="D31" s="8">
        <v>4.2</v>
      </c>
      <c r="E31" s="12">
        <v>3</v>
      </c>
      <c r="F31" s="8">
        <v>4.6900000000000004</v>
      </c>
      <c r="G31" s="12">
        <v>2</v>
      </c>
      <c r="H31" s="8">
        <v>3.77</v>
      </c>
      <c r="I31" s="12">
        <v>0</v>
      </c>
    </row>
    <row r="32" spans="2:9" ht="15" customHeight="1" x14ac:dyDescent="0.2">
      <c r="B32" t="s">
        <v>115</v>
      </c>
      <c r="C32" s="12">
        <v>5</v>
      </c>
      <c r="D32" s="8">
        <v>4.2</v>
      </c>
      <c r="E32" s="12">
        <v>4</v>
      </c>
      <c r="F32" s="8">
        <v>6.25</v>
      </c>
      <c r="G32" s="12">
        <v>1</v>
      </c>
      <c r="H32" s="8">
        <v>1.89</v>
      </c>
      <c r="I32" s="12">
        <v>0</v>
      </c>
    </row>
    <row r="33" spans="2:9" ht="15" customHeight="1" x14ac:dyDescent="0.2">
      <c r="B33" t="s">
        <v>101</v>
      </c>
      <c r="C33" s="12">
        <v>4</v>
      </c>
      <c r="D33" s="8">
        <v>3.36</v>
      </c>
      <c r="E33" s="12">
        <v>2</v>
      </c>
      <c r="F33" s="8">
        <v>3.13</v>
      </c>
      <c r="G33" s="12">
        <v>2</v>
      </c>
      <c r="H33" s="8">
        <v>3.77</v>
      </c>
      <c r="I33" s="12">
        <v>0</v>
      </c>
    </row>
    <row r="34" spans="2:9" ht="15" customHeight="1" x14ac:dyDescent="0.2">
      <c r="B34" t="s">
        <v>99</v>
      </c>
      <c r="C34" s="12">
        <v>3</v>
      </c>
      <c r="D34" s="8">
        <v>2.52</v>
      </c>
      <c r="E34" s="12">
        <v>2</v>
      </c>
      <c r="F34" s="8">
        <v>3.13</v>
      </c>
      <c r="G34" s="12">
        <v>1</v>
      </c>
      <c r="H34" s="8">
        <v>1.89</v>
      </c>
      <c r="I34" s="12">
        <v>0</v>
      </c>
    </row>
    <row r="35" spans="2:9" ht="15" customHeight="1" x14ac:dyDescent="0.2">
      <c r="B35" t="s">
        <v>138</v>
      </c>
      <c r="C35" s="12">
        <v>3</v>
      </c>
      <c r="D35" s="8">
        <v>2.52</v>
      </c>
      <c r="E35" s="12">
        <v>1</v>
      </c>
      <c r="F35" s="8">
        <v>1.56</v>
      </c>
      <c r="G35" s="12">
        <v>2</v>
      </c>
      <c r="H35" s="8">
        <v>3.77</v>
      </c>
      <c r="I35" s="12">
        <v>0</v>
      </c>
    </row>
    <row r="36" spans="2:9" ht="15" customHeight="1" x14ac:dyDescent="0.2">
      <c r="B36" t="s">
        <v>114</v>
      </c>
      <c r="C36" s="12">
        <v>3</v>
      </c>
      <c r="D36" s="8">
        <v>2.52</v>
      </c>
      <c r="E36" s="12">
        <v>3</v>
      </c>
      <c r="F36" s="8">
        <v>4.6900000000000004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100</v>
      </c>
      <c r="C37" s="12">
        <v>2</v>
      </c>
      <c r="D37" s="8">
        <v>1.68</v>
      </c>
      <c r="E37" s="12">
        <v>0</v>
      </c>
      <c r="F37" s="8">
        <v>0</v>
      </c>
      <c r="G37" s="12">
        <v>2</v>
      </c>
      <c r="H37" s="8">
        <v>3.77</v>
      </c>
      <c r="I37" s="12">
        <v>0</v>
      </c>
    </row>
    <row r="38" spans="2:9" ht="15" customHeight="1" x14ac:dyDescent="0.2">
      <c r="B38" t="s">
        <v>149</v>
      </c>
      <c r="C38" s="12">
        <v>2</v>
      </c>
      <c r="D38" s="8">
        <v>1.68</v>
      </c>
      <c r="E38" s="12">
        <v>1</v>
      </c>
      <c r="F38" s="8">
        <v>1.56</v>
      </c>
      <c r="G38" s="12">
        <v>1</v>
      </c>
      <c r="H38" s="8">
        <v>1.89</v>
      </c>
      <c r="I38" s="12">
        <v>0</v>
      </c>
    </row>
    <row r="39" spans="2:9" ht="15" customHeight="1" x14ac:dyDescent="0.2">
      <c r="B39" t="s">
        <v>141</v>
      </c>
      <c r="C39" s="12">
        <v>2</v>
      </c>
      <c r="D39" s="8">
        <v>1.68</v>
      </c>
      <c r="E39" s="12">
        <v>1</v>
      </c>
      <c r="F39" s="8">
        <v>1.56</v>
      </c>
      <c r="G39" s="12">
        <v>1</v>
      </c>
      <c r="H39" s="8">
        <v>1.89</v>
      </c>
      <c r="I39" s="12">
        <v>0</v>
      </c>
    </row>
    <row r="40" spans="2:9" ht="15" customHeight="1" x14ac:dyDescent="0.2">
      <c r="B40" t="s">
        <v>142</v>
      </c>
      <c r="C40" s="12">
        <v>2</v>
      </c>
      <c r="D40" s="8">
        <v>1.68</v>
      </c>
      <c r="E40" s="12">
        <v>2</v>
      </c>
      <c r="F40" s="8">
        <v>3.13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131</v>
      </c>
      <c r="C41" s="12">
        <v>2</v>
      </c>
      <c r="D41" s="8">
        <v>1.68</v>
      </c>
      <c r="E41" s="12">
        <v>1</v>
      </c>
      <c r="F41" s="8">
        <v>1.56</v>
      </c>
      <c r="G41" s="12">
        <v>1</v>
      </c>
      <c r="H41" s="8">
        <v>1.89</v>
      </c>
      <c r="I41" s="12">
        <v>0</v>
      </c>
    </row>
    <row r="42" spans="2:9" ht="15" customHeight="1" x14ac:dyDescent="0.2">
      <c r="B42" t="s">
        <v>146</v>
      </c>
      <c r="C42" s="12">
        <v>2</v>
      </c>
      <c r="D42" s="8">
        <v>1.68</v>
      </c>
      <c r="E42" s="12">
        <v>1</v>
      </c>
      <c r="F42" s="8">
        <v>1.56</v>
      </c>
      <c r="G42" s="12">
        <v>1</v>
      </c>
      <c r="H42" s="8">
        <v>1.89</v>
      </c>
      <c r="I42" s="12">
        <v>0</v>
      </c>
    </row>
    <row r="43" spans="2:9" ht="15" customHeight="1" x14ac:dyDescent="0.2">
      <c r="B43" t="s">
        <v>104</v>
      </c>
      <c r="C43" s="12">
        <v>2</v>
      </c>
      <c r="D43" s="8">
        <v>1.68</v>
      </c>
      <c r="E43" s="12">
        <v>0</v>
      </c>
      <c r="F43" s="8">
        <v>0</v>
      </c>
      <c r="G43" s="12">
        <v>2</v>
      </c>
      <c r="H43" s="8">
        <v>3.77</v>
      </c>
      <c r="I43" s="12">
        <v>0</v>
      </c>
    </row>
    <row r="44" spans="2:9" ht="15" customHeight="1" x14ac:dyDescent="0.2">
      <c r="B44" t="s">
        <v>124</v>
      </c>
      <c r="C44" s="12">
        <v>2</v>
      </c>
      <c r="D44" s="8">
        <v>1.68</v>
      </c>
      <c r="E44" s="12">
        <v>1</v>
      </c>
      <c r="F44" s="8">
        <v>1.56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145</v>
      </c>
      <c r="C45" s="12">
        <v>2</v>
      </c>
      <c r="D45" s="8">
        <v>1.68</v>
      </c>
      <c r="E45" s="12">
        <v>1</v>
      </c>
      <c r="F45" s="8">
        <v>1.56</v>
      </c>
      <c r="G45" s="12">
        <v>1</v>
      </c>
      <c r="H45" s="8">
        <v>1.89</v>
      </c>
      <c r="I45" s="12">
        <v>0</v>
      </c>
    </row>
    <row r="46" spans="2:9" ht="15" customHeight="1" x14ac:dyDescent="0.2">
      <c r="B46" t="s">
        <v>116</v>
      </c>
      <c r="C46" s="12">
        <v>2</v>
      </c>
      <c r="D46" s="8">
        <v>1.68</v>
      </c>
      <c r="E46" s="12">
        <v>2</v>
      </c>
      <c r="F46" s="8">
        <v>3.13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129</v>
      </c>
      <c r="C47" s="12">
        <v>2</v>
      </c>
      <c r="D47" s="8">
        <v>1.68</v>
      </c>
      <c r="E47" s="12">
        <v>2</v>
      </c>
      <c r="F47" s="8">
        <v>3.13</v>
      </c>
      <c r="G47" s="12">
        <v>0</v>
      </c>
      <c r="H47" s="8">
        <v>0</v>
      </c>
      <c r="I47" s="12">
        <v>0</v>
      </c>
    </row>
    <row r="50" spans="2:9" ht="33" customHeight="1" x14ac:dyDescent="0.2">
      <c r="B50" t="s">
        <v>273</v>
      </c>
      <c r="C50" s="10" t="s">
        <v>91</v>
      </c>
      <c r="D50" s="10" t="s">
        <v>92</v>
      </c>
      <c r="E50" s="10" t="s">
        <v>93</v>
      </c>
      <c r="F50" s="10" t="s">
        <v>94</v>
      </c>
      <c r="G50" s="10" t="s">
        <v>95</v>
      </c>
      <c r="H50" s="10" t="s">
        <v>96</v>
      </c>
      <c r="I50" s="10" t="s">
        <v>97</v>
      </c>
    </row>
    <row r="51" spans="2:9" ht="15" customHeight="1" x14ac:dyDescent="0.2">
      <c r="B51" t="s">
        <v>190</v>
      </c>
      <c r="C51" s="12">
        <v>14</v>
      </c>
      <c r="D51" s="8">
        <v>11.76</v>
      </c>
      <c r="E51" s="12">
        <v>5</v>
      </c>
      <c r="F51" s="8">
        <v>7.81</v>
      </c>
      <c r="G51" s="12">
        <v>9</v>
      </c>
      <c r="H51" s="8">
        <v>16.98</v>
      </c>
      <c r="I51" s="12">
        <v>0</v>
      </c>
    </row>
    <row r="52" spans="2:9" ht="15" customHeight="1" x14ac:dyDescent="0.2">
      <c r="B52" t="s">
        <v>159</v>
      </c>
      <c r="C52" s="12">
        <v>5</v>
      </c>
      <c r="D52" s="8">
        <v>4.2</v>
      </c>
      <c r="E52" s="12">
        <v>0</v>
      </c>
      <c r="F52" s="8">
        <v>0</v>
      </c>
      <c r="G52" s="12">
        <v>5</v>
      </c>
      <c r="H52" s="8">
        <v>9.43</v>
      </c>
      <c r="I52" s="12">
        <v>0</v>
      </c>
    </row>
    <row r="53" spans="2:9" ht="15" customHeight="1" x14ac:dyDescent="0.2">
      <c r="B53" t="s">
        <v>161</v>
      </c>
      <c r="C53" s="12">
        <v>5</v>
      </c>
      <c r="D53" s="8">
        <v>4.2</v>
      </c>
      <c r="E53" s="12">
        <v>5</v>
      </c>
      <c r="F53" s="8">
        <v>7.81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167</v>
      </c>
      <c r="C54" s="12">
        <v>4</v>
      </c>
      <c r="D54" s="8">
        <v>3.36</v>
      </c>
      <c r="E54" s="12">
        <v>4</v>
      </c>
      <c r="F54" s="8">
        <v>6.25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262</v>
      </c>
      <c r="C55" s="12">
        <v>3</v>
      </c>
      <c r="D55" s="8">
        <v>2.52</v>
      </c>
      <c r="E55" s="12">
        <v>1</v>
      </c>
      <c r="F55" s="8">
        <v>1.56</v>
      </c>
      <c r="G55" s="12">
        <v>2</v>
      </c>
      <c r="H55" s="8">
        <v>3.77</v>
      </c>
      <c r="I55" s="12">
        <v>0</v>
      </c>
    </row>
    <row r="56" spans="2:9" ht="15" customHeight="1" x14ac:dyDescent="0.2">
      <c r="B56" t="s">
        <v>217</v>
      </c>
      <c r="C56" s="12">
        <v>3</v>
      </c>
      <c r="D56" s="8">
        <v>2.52</v>
      </c>
      <c r="E56" s="12">
        <v>1</v>
      </c>
      <c r="F56" s="8">
        <v>1.56</v>
      </c>
      <c r="G56" s="12">
        <v>2</v>
      </c>
      <c r="H56" s="8">
        <v>3.77</v>
      </c>
      <c r="I56" s="12">
        <v>0</v>
      </c>
    </row>
    <row r="57" spans="2:9" ht="15" customHeight="1" x14ac:dyDescent="0.2">
      <c r="B57" t="s">
        <v>245</v>
      </c>
      <c r="C57" s="12">
        <v>3</v>
      </c>
      <c r="D57" s="8">
        <v>2.52</v>
      </c>
      <c r="E57" s="12">
        <v>3</v>
      </c>
      <c r="F57" s="8">
        <v>4.6900000000000004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224</v>
      </c>
      <c r="C58" s="12">
        <v>2</v>
      </c>
      <c r="D58" s="8">
        <v>1.68</v>
      </c>
      <c r="E58" s="12">
        <v>1</v>
      </c>
      <c r="F58" s="8">
        <v>1.56</v>
      </c>
      <c r="G58" s="12">
        <v>1</v>
      </c>
      <c r="H58" s="8">
        <v>1.89</v>
      </c>
      <c r="I58" s="12">
        <v>0</v>
      </c>
    </row>
    <row r="59" spans="2:9" ht="15" customHeight="1" x14ac:dyDescent="0.2">
      <c r="B59" t="s">
        <v>210</v>
      </c>
      <c r="C59" s="12">
        <v>2</v>
      </c>
      <c r="D59" s="8">
        <v>1.68</v>
      </c>
      <c r="E59" s="12">
        <v>2</v>
      </c>
      <c r="F59" s="8">
        <v>3.13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239</v>
      </c>
      <c r="C60" s="12">
        <v>2</v>
      </c>
      <c r="D60" s="8">
        <v>1.68</v>
      </c>
      <c r="E60" s="12">
        <v>1</v>
      </c>
      <c r="F60" s="8">
        <v>1.56</v>
      </c>
      <c r="G60" s="12">
        <v>1</v>
      </c>
      <c r="H60" s="8">
        <v>1.89</v>
      </c>
      <c r="I60" s="12">
        <v>0</v>
      </c>
    </row>
    <row r="61" spans="2:9" ht="15" customHeight="1" x14ac:dyDescent="0.2">
      <c r="B61" t="s">
        <v>260</v>
      </c>
      <c r="C61" s="12">
        <v>2</v>
      </c>
      <c r="D61" s="8">
        <v>1.68</v>
      </c>
      <c r="E61" s="12">
        <v>1</v>
      </c>
      <c r="F61" s="8">
        <v>1.56</v>
      </c>
      <c r="G61" s="12">
        <v>1</v>
      </c>
      <c r="H61" s="8">
        <v>1.89</v>
      </c>
      <c r="I61" s="12">
        <v>0</v>
      </c>
    </row>
    <row r="62" spans="2:9" ht="15" customHeight="1" x14ac:dyDescent="0.2">
      <c r="B62" t="s">
        <v>229</v>
      </c>
      <c r="C62" s="12">
        <v>2</v>
      </c>
      <c r="D62" s="8">
        <v>1.68</v>
      </c>
      <c r="E62" s="12">
        <v>1</v>
      </c>
      <c r="F62" s="8">
        <v>1.56</v>
      </c>
      <c r="G62" s="12">
        <v>1</v>
      </c>
      <c r="H62" s="8">
        <v>1.89</v>
      </c>
      <c r="I62" s="12">
        <v>0</v>
      </c>
    </row>
    <row r="63" spans="2:9" ht="15" customHeight="1" x14ac:dyDescent="0.2">
      <c r="B63" t="s">
        <v>241</v>
      </c>
      <c r="C63" s="12">
        <v>2</v>
      </c>
      <c r="D63" s="8">
        <v>1.68</v>
      </c>
      <c r="E63" s="12">
        <v>1</v>
      </c>
      <c r="F63" s="8">
        <v>1.56</v>
      </c>
      <c r="G63" s="12">
        <v>1</v>
      </c>
      <c r="H63" s="8">
        <v>1.89</v>
      </c>
      <c r="I63" s="12">
        <v>0</v>
      </c>
    </row>
    <row r="64" spans="2:9" ht="15" customHeight="1" x14ac:dyDescent="0.2">
      <c r="B64" t="s">
        <v>227</v>
      </c>
      <c r="C64" s="12">
        <v>2</v>
      </c>
      <c r="D64" s="8">
        <v>1.68</v>
      </c>
      <c r="E64" s="12">
        <v>2</v>
      </c>
      <c r="F64" s="8">
        <v>3.13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263</v>
      </c>
      <c r="C65" s="12">
        <v>2</v>
      </c>
      <c r="D65" s="8">
        <v>1.68</v>
      </c>
      <c r="E65" s="12">
        <v>2</v>
      </c>
      <c r="F65" s="8">
        <v>3.13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244</v>
      </c>
      <c r="C66" s="12">
        <v>2</v>
      </c>
      <c r="D66" s="8">
        <v>1.68</v>
      </c>
      <c r="E66" s="12">
        <v>1</v>
      </c>
      <c r="F66" s="8">
        <v>1.56</v>
      </c>
      <c r="G66" s="12">
        <v>1</v>
      </c>
      <c r="H66" s="8">
        <v>1.89</v>
      </c>
      <c r="I66" s="12">
        <v>0</v>
      </c>
    </row>
    <row r="67" spans="2:9" ht="15" customHeight="1" x14ac:dyDescent="0.2">
      <c r="B67" t="s">
        <v>192</v>
      </c>
      <c r="C67" s="12">
        <v>2</v>
      </c>
      <c r="D67" s="8">
        <v>1.68</v>
      </c>
      <c r="E67" s="12">
        <v>1</v>
      </c>
      <c r="F67" s="8">
        <v>1.56</v>
      </c>
      <c r="G67" s="12">
        <v>1</v>
      </c>
      <c r="H67" s="8">
        <v>1.89</v>
      </c>
      <c r="I67" s="12">
        <v>0</v>
      </c>
    </row>
    <row r="68" spans="2:9" ht="15" customHeight="1" x14ac:dyDescent="0.2">
      <c r="B68" t="s">
        <v>264</v>
      </c>
      <c r="C68" s="12">
        <v>2</v>
      </c>
      <c r="D68" s="8">
        <v>1.68</v>
      </c>
      <c r="E68" s="12">
        <v>0</v>
      </c>
      <c r="F68" s="8">
        <v>0</v>
      </c>
      <c r="G68" s="12">
        <v>2</v>
      </c>
      <c r="H68" s="8">
        <v>3.77</v>
      </c>
      <c r="I68" s="12">
        <v>0</v>
      </c>
    </row>
    <row r="69" spans="2:9" ht="15" customHeight="1" x14ac:dyDescent="0.2">
      <c r="B69" t="s">
        <v>265</v>
      </c>
      <c r="C69" s="12">
        <v>2</v>
      </c>
      <c r="D69" s="8">
        <v>1.68</v>
      </c>
      <c r="E69" s="12">
        <v>0</v>
      </c>
      <c r="F69" s="8">
        <v>0</v>
      </c>
      <c r="G69" s="12">
        <v>2</v>
      </c>
      <c r="H69" s="8">
        <v>3.77</v>
      </c>
      <c r="I69" s="12">
        <v>0</v>
      </c>
    </row>
    <row r="70" spans="2:9" ht="15" customHeight="1" x14ac:dyDescent="0.2">
      <c r="B70" t="s">
        <v>266</v>
      </c>
      <c r="C70" s="12">
        <v>2</v>
      </c>
      <c r="D70" s="8">
        <v>1.68</v>
      </c>
      <c r="E70" s="12">
        <v>1</v>
      </c>
      <c r="F70" s="8">
        <v>1.56</v>
      </c>
      <c r="G70" s="12">
        <v>1</v>
      </c>
      <c r="H70" s="8">
        <v>1.89</v>
      </c>
      <c r="I70" s="12">
        <v>0</v>
      </c>
    </row>
    <row r="71" spans="2:9" ht="15" customHeight="1" x14ac:dyDescent="0.2">
      <c r="B71" t="s">
        <v>181</v>
      </c>
      <c r="C71" s="12">
        <v>2</v>
      </c>
      <c r="D71" s="8">
        <v>1.68</v>
      </c>
      <c r="E71" s="12">
        <v>2</v>
      </c>
      <c r="F71" s="8">
        <v>3.13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267</v>
      </c>
      <c r="C72" s="12">
        <v>2</v>
      </c>
      <c r="D72" s="8">
        <v>1.68</v>
      </c>
      <c r="E72" s="12">
        <v>1</v>
      </c>
      <c r="F72" s="8">
        <v>1.56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168</v>
      </c>
      <c r="C73" s="12">
        <v>2</v>
      </c>
      <c r="D73" s="8">
        <v>1.68</v>
      </c>
      <c r="E73" s="12">
        <v>2</v>
      </c>
      <c r="F73" s="8">
        <v>3.13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259</v>
      </c>
      <c r="C74" s="12">
        <v>2</v>
      </c>
      <c r="D74" s="8">
        <v>1.68</v>
      </c>
      <c r="E74" s="12">
        <v>1</v>
      </c>
      <c r="F74" s="8">
        <v>1.56</v>
      </c>
      <c r="G74" s="12">
        <v>1</v>
      </c>
      <c r="H74" s="8">
        <v>1.89</v>
      </c>
      <c r="I74" s="12">
        <v>0</v>
      </c>
    </row>
    <row r="75" spans="2:9" ht="15" customHeight="1" x14ac:dyDescent="0.2">
      <c r="B75" t="s">
        <v>199</v>
      </c>
      <c r="C75" s="12">
        <v>2</v>
      </c>
      <c r="D75" s="8">
        <v>1.68</v>
      </c>
      <c r="E75" s="12">
        <v>2</v>
      </c>
      <c r="F75" s="8">
        <v>3.13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170</v>
      </c>
      <c r="C76" s="12">
        <v>2</v>
      </c>
      <c r="D76" s="8">
        <v>1.68</v>
      </c>
      <c r="E76" s="12">
        <v>2</v>
      </c>
      <c r="F76" s="8">
        <v>3.13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198</v>
      </c>
      <c r="C77" s="12">
        <v>2</v>
      </c>
      <c r="D77" s="8">
        <v>1.68</v>
      </c>
      <c r="E77" s="12">
        <v>2</v>
      </c>
      <c r="F77" s="8">
        <v>3.13</v>
      </c>
      <c r="G77" s="12">
        <v>0</v>
      </c>
      <c r="H77" s="8">
        <v>0</v>
      </c>
      <c r="I77" s="12">
        <v>0</v>
      </c>
    </row>
    <row r="79" spans="2:9" ht="15" customHeight="1" x14ac:dyDescent="0.2">
      <c r="B79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2C13A-7D19-4968-817E-4C3537A25F3C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277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146</v>
      </c>
      <c r="D6" s="8">
        <v>5.67</v>
      </c>
      <c r="E6" s="12">
        <v>12</v>
      </c>
      <c r="F6" s="8">
        <v>1.1100000000000001</v>
      </c>
      <c r="G6" s="12">
        <v>134</v>
      </c>
      <c r="H6" s="8">
        <v>9.0500000000000007</v>
      </c>
      <c r="I6" s="12">
        <v>0</v>
      </c>
    </row>
    <row r="7" spans="2:9" ht="15" customHeight="1" x14ac:dyDescent="0.2">
      <c r="B7" t="s">
        <v>77</v>
      </c>
      <c r="C7" s="12">
        <v>243</v>
      </c>
      <c r="D7" s="8">
        <v>9.43</v>
      </c>
      <c r="E7" s="12">
        <v>52</v>
      </c>
      <c r="F7" s="8">
        <v>4.8</v>
      </c>
      <c r="G7" s="12">
        <v>191</v>
      </c>
      <c r="H7" s="8">
        <v>12.91</v>
      </c>
      <c r="I7" s="12">
        <v>0</v>
      </c>
    </row>
    <row r="8" spans="2:9" ht="15" customHeight="1" x14ac:dyDescent="0.2">
      <c r="B8" t="s">
        <v>78</v>
      </c>
      <c r="C8" s="12">
        <v>3</v>
      </c>
      <c r="D8" s="8">
        <v>0.12</v>
      </c>
      <c r="E8" s="12">
        <v>0</v>
      </c>
      <c r="F8" s="8">
        <v>0</v>
      </c>
      <c r="G8" s="12">
        <v>3</v>
      </c>
      <c r="H8" s="8">
        <v>0.2</v>
      </c>
      <c r="I8" s="12">
        <v>0</v>
      </c>
    </row>
    <row r="9" spans="2:9" ht="15" customHeight="1" x14ac:dyDescent="0.2">
      <c r="B9" t="s">
        <v>79</v>
      </c>
      <c r="C9" s="12">
        <v>52</v>
      </c>
      <c r="D9" s="8">
        <v>2.02</v>
      </c>
      <c r="E9" s="12">
        <v>3</v>
      </c>
      <c r="F9" s="8">
        <v>0.28000000000000003</v>
      </c>
      <c r="G9" s="12">
        <v>49</v>
      </c>
      <c r="H9" s="8">
        <v>3.31</v>
      </c>
      <c r="I9" s="12">
        <v>0</v>
      </c>
    </row>
    <row r="10" spans="2:9" ht="15" customHeight="1" x14ac:dyDescent="0.2">
      <c r="B10" t="s">
        <v>80</v>
      </c>
      <c r="C10" s="12">
        <v>23</v>
      </c>
      <c r="D10" s="8">
        <v>0.89</v>
      </c>
      <c r="E10" s="12">
        <v>1</v>
      </c>
      <c r="F10" s="8">
        <v>0.09</v>
      </c>
      <c r="G10" s="12">
        <v>22</v>
      </c>
      <c r="H10" s="8">
        <v>1.49</v>
      </c>
      <c r="I10" s="12">
        <v>0</v>
      </c>
    </row>
    <row r="11" spans="2:9" ht="15" customHeight="1" x14ac:dyDescent="0.2">
      <c r="B11" t="s">
        <v>81</v>
      </c>
      <c r="C11" s="12">
        <v>671</v>
      </c>
      <c r="D11" s="8">
        <v>26.04</v>
      </c>
      <c r="E11" s="12">
        <v>204</v>
      </c>
      <c r="F11" s="8">
        <v>18.82</v>
      </c>
      <c r="G11" s="12">
        <v>466</v>
      </c>
      <c r="H11" s="8">
        <v>31.49</v>
      </c>
      <c r="I11" s="12">
        <v>1</v>
      </c>
    </row>
    <row r="12" spans="2:9" ht="15" customHeight="1" x14ac:dyDescent="0.2">
      <c r="B12" t="s">
        <v>82</v>
      </c>
      <c r="C12" s="12">
        <v>10</v>
      </c>
      <c r="D12" s="8">
        <v>0.39</v>
      </c>
      <c r="E12" s="12">
        <v>0</v>
      </c>
      <c r="F12" s="8">
        <v>0</v>
      </c>
      <c r="G12" s="12">
        <v>10</v>
      </c>
      <c r="H12" s="8">
        <v>0.68</v>
      </c>
      <c r="I12" s="12">
        <v>0</v>
      </c>
    </row>
    <row r="13" spans="2:9" ht="15" customHeight="1" x14ac:dyDescent="0.2">
      <c r="B13" t="s">
        <v>83</v>
      </c>
      <c r="C13" s="12">
        <v>337</v>
      </c>
      <c r="D13" s="8">
        <v>13.08</v>
      </c>
      <c r="E13" s="12">
        <v>102</v>
      </c>
      <c r="F13" s="8">
        <v>9.41</v>
      </c>
      <c r="G13" s="12">
        <v>233</v>
      </c>
      <c r="H13" s="8">
        <v>15.74</v>
      </c>
      <c r="I13" s="12">
        <v>2</v>
      </c>
    </row>
    <row r="14" spans="2:9" ht="15" customHeight="1" x14ac:dyDescent="0.2">
      <c r="B14" t="s">
        <v>84</v>
      </c>
      <c r="C14" s="12">
        <v>198</v>
      </c>
      <c r="D14" s="8">
        <v>7.68</v>
      </c>
      <c r="E14" s="12">
        <v>89</v>
      </c>
      <c r="F14" s="8">
        <v>8.2100000000000009</v>
      </c>
      <c r="G14" s="12">
        <v>108</v>
      </c>
      <c r="H14" s="8">
        <v>7.3</v>
      </c>
      <c r="I14" s="12">
        <v>0</v>
      </c>
    </row>
    <row r="15" spans="2:9" ht="15" customHeight="1" x14ac:dyDescent="0.2">
      <c r="B15" t="s">
        <v>85</v>
      </c>
      <c r="C15" s="12">
        <v>431</v>
      </c>
      <c r="D15" s="8">
        <v>16.72</v>
      </c>
      <c r="E15" s="12">
        <v>345</v>
      </c>
      <c r="F15" s="8">
        <v>31.83</v>
      </c>
      <c r="G15" s="12">
        <v>86</v>
      </c>
      <c r="H15" s="8">
        <v>5.81</v>
      </c>
      <c r="I15" s="12">
        <v>0</v>
      </c>
    </row>
    <row r="16" spans="2:9" ht="15" customHeight="1" x14ac:dyDescent="0.2">
      <c r="B16" t="s">
        <v>86</v>
      </c>
      <c r="C16" s="12">
        <v>198</v>
      </c>
      <c r="D16" s="8">
        <v>7.68</v>
      </c>
      <c r="E16" s="12">
        <v>143</v>
      </c>
      <c r="F16" s="8">
        <v>13.19</v>
      </c>
      <c r="G16" s="12">
        <v>55</v>
      </c>
      <c r="H16" s="8">
        <v>3.72</v>
      </c>
      <c r="I16" s="12">
        <v>0</v>
      </c>
    </row>
    <row r="17" spans="2:9" ht="15" customHeight="1" x14ac:dyDescent="0.2">
      <c r="B17" t="s">
        <v>87</v>
      </c>
      <c r="C17" s="12">
        <v>79</v>
      </c>
      <c r="D17" s="8">
        <v>3.07</v>
      </c>
      <c r="E17" s="12">
        <v>45</v>
      </c>
      <c r="F17" s="8">
        <v>4.1500000000000004</v>
      </c>
      <c r="G17" s="12">
        <v>33</v>
      </c>
      <c r="H17" s="8">
        <v>2.23</v>
      </c>
      <c r="I17" s="12">
        <v>0</v>
      </c>
    </row>
    <row r="18" spans="2:9" ht="15" customHeight="1" x14ac:dyDescent="0.2">
      <c r="B18" t="s">
        <v>88</v>
      </c>
      <c r="C18" s="12">
        <v>121</v>
      </c>
      <c r="D18" s="8">
        <v>4.7</v>
      </c>
      <c r="E18" s="12">
        <v>79</v>
      </c>
      <c r="F18" s="8">
        <v>7.29</v>
      </c>
      <c r="G18" s="12">
        <v>40</v>
      </c>
      <c r="H18" s="8">
        <v>2.7</v>
      </c>
      <c r="I18" s="12">
        <v>2</v>
      </c>
    </row>
    <row r="19" spans="2:9" ht="15" customHeight="1" x14ac:dyDescent="0.2">
      <c r="B19" t="s">
        <v>89</v>
      </c>
      <c r="C19" s="12">
        <v>65</v>
      </c>
      <c r="D19" s="8">
        <v>2.52</v>
      </c>
      <c r="E19" s="12">
        <v>9</v>
      </c>
      <c r="F19" s="8">
        <v>0.83</v>
      </c>
      <c r="G19" s="12">
        <v>50</v>
      </c>
      <c r="H19" s="8">
        <v>3.38</v>
      </c>
      <c r="I19" s="12">
        <v>5</v>
      </c>
    </row>
    <row r="20" spans="2:9" ht="15" customHeight="1" x14ac:dyDescent="0.2">
      <c r="B20" s="9" t="s">
        <v>271</v>
      </c>
      <c r="C20" s="12">
        <f>SUM(LTBL_27103[総数／事業所数])</f>
        <v>2577</v>
      </c>
      <c r="E20" s="12">
        <f>SUBTOTAL(109,LTBL_27103[個人／事業所数])</f>
        <v>1084</v>
      </c>
      <c r="G20" s="12">
        <f>SUBTOTAL(109,LTBL_27103[法人／事業所数])</f>
        <v>1480</v>
      </c>
      <c r="I20" s="12">
        <f>SUBTOTAL(109,LTBL_27103[法人以外の団体／事業所数])</f>
        <v>10</v>
      </c>
    </row>
    <row r="21" spans="2:9" ht="15" customHeight="1" x14ac:dyDescent="0.2">
      <c r="E21" s="11">
        <f>LTBL_27103[[#Totals],[個人／事業所数]]/LTBL_27103[[#Totals],[総数／事業所数]]</f>
        <v>0.4206441598758246</v>
      </c>
      <c r="G21" s="11">
        <f>LTBL_27103[[#Totals],[法人／事業所数]]/LTBL_27103[[#Totals],[総数／事業所数]]</f>
        <v>0.57431121459060919</v>
      </c>
      <c r="I21" s="11">
        <f>LTBL_27103[[#Totals],[法人以外の団体／事業所数]]/LTBL_27103[[#Totals],[総数／事業所数]]</f>
        <v>3.8804811796662787E-3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113</v>
      </c>
      <c r="C24" s="12">
        <v>414</v>
      </c>
      <c r="D24" s="8">
        <v>16.07</v>
      </c>
      <c r="E24" s="12">
        <v>342</v>
      </c>
      <c r="F24" s="8">
        <v>31.55</v>
      </c>
      <c r="G24" s="12">
        <v>72</v>
      </c>
      <c r="H24" s="8">
        <v>4.8600000000000003</v>
      </c>
      <c r="I24" s="12">
        <v>0</v>
      </c>
    </row>
    <row r="25" spans="2:9" ht="15" customHeight="1" x14ac:dyDescent="0.2">
      <c r="B25" t="s">
        <v>110</v>
      </c>
      <c r="C25" s="12">
        <v>264</v>
      </c>
      <c r="D25" s="8">
        <v>10.24</v>
      </c>
      <c r="E25" s="12">
        <v>92</v>
      </c>
      <c r="F25" s="8">
        <v>8.49</v>
      </c>
      <c r="G25" s="12">
        <v>170</v>
      </c>
      <c r="H25" s="8">
        <v>11.49</v>
      </c>
      <c r="I25" s="12">
        <v>2</v>
      </c>
    </row>
    <row r="26" spans="2:9" ht="15" customHeight="1" x14ac:dyDescent="0.2">
      <c r="B26" t="s">
        <v>122</v>
      </c>
      <c r="C26" s="12">
        <v>171</v>
      </c>
      <c r="D26" s="8">
        <v>6.64</v>
      </c>
      <c r="E26" s="12">
        <v>23</v>
      </c>
      <c r="F26" s="8">
        <v>2.12</v>
      </c>
      <c r="G26" s="12">
        <v>147</v>
      </c>
      <c r="H26" s="8">
        <v>9.93</v>
      </c>
      <c r="I26" s="12">
        <v>1</v>
      </c>
    </row>
    <row r="27" spans="2:9" ht="15" customHeight="1" x14ac:dyDescent="0.2">
      <c r="B27" t="s">
        <v>114</v>
      </c>
      <c r="C27" s="12">
        <v>161</v>
      </c>
      <c r="D27" s="8">
        <v>6.25</v>
      </c>
      <c r="E27" s="12">
        <v>125</v>
      </c>
      <c r="F27" s="8">
        <v>11.53</v>
      </c>
      <c r="G27" s="12">
        <v>36</v>
      </c>
      <c r="H27" s="8">
        <v>2.4300000000000002</v>
      </c>
      <c r="I27" s="12">
        <v>0</v>
      </c>
    </row>
    <row r="28" spans="2:9" ht="15" customHeight="1" x14ac:dyDescent="0.2">
      <c r="B28" t="s">
        <v>111</v>
      </c>
      <c r="C28" s="12">
        <v>137</v>
      </c>
      <c r="D28" s="8">
        <v>5.32</v>
      </c>
      <c r="E28" s="12">
        <v>73</v>
      </c>
      <c r="F28" s="8">
        <v>6.73</v>
      </c>
      <c r="G28" s="12">
        <v>64</v>
      </c>
      <c r="H28" s="8">
        <v>4.32</v>
      </c>
      <c r="I28" s="12">
        <v>0</v>
      </c>
    </row>
    <row r="29" spans="2:9" ht="15" customHeight="1" x14ac:dyDescent="0.2">
      <c r="B29" t="s">
        <v>108</v>
      </c>
      <c r="C29" s="12">
        <v>116</v>
      </c>
      <c r="D29" s="8">
        <v>4.5</v>
      </c>
      <c r="E29" s="12">
        <v>61</v>
      </c>
      <c r="F29" s="8">
        <v>5.63</v>
      </c>
      <c r="G29" s="12">
        <v>55</v>
      </c>
      <c r="H29" s="8">
        <v>3.72</v>
      </c>
      <c r="I29" s="12">
        <v>0</v>
      </c>
    </row>
    <row r="30" spans="2:9" ht="15" customHeight="1" x14ac:dyDescent="0.2">
      <c r="B30" t="s">
        <v>116</v>
      </c>
      <c r="C30" s="12">
        <v>92</v>
      </c>
      <c r="D30" s="8">
        <v>3.57</v>
      </c>
      <c r="E30" s="12">
        <v>79</v>
      </c>
      <c r="F30" s="8">
        <v>7.29</v>
      </c>
      <c r="G30" s="12">
        <v>13</v>
      </c>
      <c r="H30" s="8">
        <v>0.88</v>
      </c>
      <c r="I30" s="12">
        <v>0</v>
      </c>
    </row>
    <row r="31" spans="2:9" ht="15" customHeight="1" x14ac:dyDescent="0.2">
      <c r="B31" t="s">
        <v>103</v>
      </c>
      <c r="C31" s="12">
        <v>86</v>
      </c>
      <c r="D31" s="8">
        <v>3.34</v>
      </c>
      <c r="E31" s="12">
        <v>12</v>
      </c>
      <c r="F31" s="8">
        <v>1.1100000000000001</v>
      </c>
      <c r="G31" s="12">
        <v>74</v>
      </c>
      <c r="H31" s="8">
        <v>5</v>
      </c>
      <c r="I31" s="12">
        <v>0</v>
      </c>
    </row>
    <row r="32" spans="2:9" ht="15" customHeight="1" x14ac:dyDescent="0.2">
      <c r="B32" t="s">
        <v>115</v>
      </c>
      <c r="C32" s="12">
        <v>79</v>
      </c>
      <c r="D32" s="8">
        <v>3.07</v>
      </c>
      <c r="E32" s="12">
        <v>45</v>
      </c>
      <c r="F32" s="8">
        <v>4.1500000000000004</v>
      </c>
      <c r="G32" s="12">
        <v>33</v>
      </c>
      <c r="H32" s="8">
        <v>2.23</v>
      </c>
      <c r="I32" s="12">
        <v>0</v>
      </c>
    </row>
    <row r="33" spans="2:9" ht="15" customHeight="1" x14ac:dyDescent="0.2">
      <c r="B33" t="s">
        <v>106</v>
      </c>
      <c r="C33" s="12">
        <v>74</v>
      </c>
      <c r="D33" s="8">
        <v>2.87</v>
      </c>
      <c r="E33" s="12">
        <v>46</v>
      </c>
      <c r="F33" s="8">
        <v>4.24</v>
      </c>
      <c r="G33" s="12">
        <v>28</v>
      </c>
      <c r="H33" s="8">
        <v>1.89</v>
      </c>
      <c r="I33" s="12">
        <v>0</v>
      </c>
    </row>
    <row r="34" spans="2:9" ht="15" customHeight="1" x14ac:dyDescent="0.2">
      <c r="B34" t="s">
        <v>100</v>
      </c>
      <c r="C34" s="12">
        <v>61</v>
      </c>
      <c r="D34" s="8">
        <v>2.37</v>
      </c>
      <c r="E34" s="12">
        <v>6</v>
      </c>
      <c r="F34" s="8">
        <v>0.55000000000000004</v>
      </c>
      <c r="G34" s="12">
        <v>55</v>
      </c>
      <c r="H34" s="8">
        <v>3.72</v>
      </c>
      <c r="I34" s="12">
        <v>0</v>
      </c>
    </row>
    <row r="35" spans="2:9" ht="15" customHeight="1" x14ac:dyDescent="0.2">
      <c r="B35" t="s">
        <v>102</v>
      </c>
      <c r="C35" s="12">
        <v>60</v>
      </c>
      <c r="D35" s="8">
        <v>2.33</v>
      </c>
      <c r="E35" s="12">
        <v>7</v>
      </c>
      <c r="F35" s="8">
        <v>0.65</v>
      </c>
      <c r="G35" s="12">
        <v>53</v>
      </c>
      <c r="H35" s="8">
        <v>3.58</v>
      </c>
      <c r="I35" s="12">
        <v>0</v>
      </c>
    </row>
    <row r="36" spans="2:9" ht="15" customHeight="1" x14ac:dyDescent="0.2">
      <c r="B36" t="s">
        <v>109</v>
      </c>
      <c r="C36" s="12">
        <v>57</v>
      </c>
      <c r="D36" s="8">
        <v>2.21</v>
      </c>
      <c r="E36" s="12">
        <v>7</v>
      </c>
      <c r="F36" s="8">
        <v>0.65</v>
      </c>
      <c r="G36" s="12">
        <v>50</v>
      </c>
      <c r="H36" s="8">
        <v>3.38</v>
      </c>
      <c r="I36" s="12">
        <v>0</v>
      </c>
    </row>
    <row r="37" spans="2:9" ht="15" customHeight="1" x14ac:dyDescent="0.2">
      <c r="B37" t="s">
        <v>104</v>
      </c>
      <c r="C37" s="12">
        <v>54</v>
      </c>
      <c r="D37" s="8">
        <v>2.1</v>
      </c>
      <c r="E37" s="12">
        <v>12</v>
      </c>
      <c r="F37" s="8">
        <v>1.1100000000000001</v>
      </c>
      <c r="G37" s="12">
        <v>42</v>
      </c>
      <c r="H37" s="8">
        <v>2.84</v>
      </c>
      <c r="I37" s="12">
        <v>0</v>
      </c>
    </row>
    <row r="38" spans="2:9" ht="15" customHeight="1" x14ac:dyDescent="0.2">
      <c r="B38" t="s">
        <v>112</v>
      </c>
      <c r="C38" s="12">
        <v>51</v>
      </c>
      <c r="D38" s="8">
        <v>1.98</v>
      </c>
      <c r="E38" s="12">
        <v>16</v>
      </c>
      <c r="F38" s="8">
        <v>1.48</v>
      </c>
      <c r="G38" s="12">
        <v>34</v>
      </c>
      <c r="H38" s="8">
        <v>2.2999999999999998</v>
      </c>
      <c r="I38" s="12">
        <v>0</v>
      </c>
    </row>
    <row r="39" spans="2:9" ht="15" customHeight="1" x14ac:dyDescent="0.2">
      <c r="B39" t="s">
        <v>121</v>
      </c>
      <c r="C39" s="12">
        <v>47</v>
      </c>
      <c r="D39" s="8">
        <v>1.82</v>
      </c>
      <c r="E39" s="12">
        <v>8</v>
      </c>
      <c r="F39" s="8">
        <v>0.74</v>
      </c>
      <c r="G39" s="12">
        <v>39</v>
      </c>
      <c r="H39" s="8">
        <v>2.64</v>
      </c>
      <c r="I39" s="12">
        <v>0</v>
      </c>
    </row>
    <row r="40" spans="2:9" ht="15" customHeight="1" x14ac:dyDescent="0.2">
      <c r="B40" t="s">
        <v>98</v>
      </c>
      <c r="C40" s="12">
        <v>45</v>
      </c>
      <c r="D40" s="8">
        <v>1.75</v>
      </c>
      <c r="E40" s="12">
        <v>1</v>
      </c>
      <c r="F40" s="8">
        <v>0.09</v>
      </c>
      <c r="G40" s="12">
        <v>44</v>
      </c>
      <c r="H40" s="8">
        <v>2.97</v>
      </c>
      <c r="I40" s="12">
        <v>0</v>
      </c>
    </row>
    <row r="41" spans="2:9" ht="15" customHeight="1" x14ac:dyDescent="0.2">
      <c r="B41" t="s">
        <v>105</v>
      </c>
      <c r="C41" s="12">
        <v>45</v>
      </c>
      <c r="D41" s="8">
        <v>1.75</v>
      </c>
      <c r="E41" s="12">
        <v>25</v>
      </c>
      <c r="F41" s="8">
        <v>2.31</v>
      </c>
      <c r="G41" s="12">
        <v>20</v>
      </c>
      <c r="H41" s="8">
        <v>1.35</v>
      </c>
      <c r="I41" s="12">
        <v>0</v>
      </c>
    </row>
    <row r="42" spans="2:9" ht="15" customHeight="1" x14ac:dyDescent="0.2">
      <c r="B42" t="s">
        <v>120</v>
      </c>
      <c r="C42" s="12">
        <v>42</v>
      </c>
      <c r="D42" s="8">
        <v>1.63</v>
      </c>
      <c r="E42" s="12">
        <v>21</v>
      </c>
      <c r="F42" s="8">
        <v>1.94</v>
      </c>
      <c r="G42" s="12">
        <v>21</v>
      </c>
      <c r="H42" s="8">
        <v>1.42</v>
      </c>
      <c r="I42" s="12">
        <v>0</v>
      </c>
    </row>
    <row r="43" spans="2:9" ht="15" customHeight="1" x14ac:dyDescent="0.2">
      <c r="B43" t="s">
        <v>99</v>
      </c>
      <c r="C43" s="12">
        <v>40</v>
      </c>
      <c r="D43" s="8">
        <v>1.55</v>
      </c>
      <c r="E43" s="12">
        <v>5</v>
      </c>
      <c r="F43" s="8">
        <v>0.46</v>
      </c>
      <c r="G43" s="12">
        <v>35</v>
      </c>
      <c r="H43" s="8">
        <v>2.36</v>
      </c>
      <c r="I43" s="12">
        <v>0</v>
      </c>
    </row>
    <row r="46" spans="2:9" ht="33" customHeight="1" x14ac:dyDescent="0.2">
      <c r="B46" t="s">
        <v>273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160</v>
      </c>
      <c r="C47" s="12">
        <v>138</v>
      </c>
      <c r="D47" s="8">
        <v>5.36</v>
      </c>
      <c r="E47" s="12">
        <v>54</v>
      </c>
      <c r="F47" s="8">
        <v>4.9800000000000004</v>
      </c>
      <c r="G47" s="12">
        <v>84</v>
      </c>
      <c r="H47" s="8">
        <v>5.68</v>
      </c>
      <c r="I47" s="12">
        <v>0</v>
      </c>
    </row>
    <row r="48" spans="2:9" ht="15" customHeight="1" x14ac:dyDescent="0.2">
      <c r="B48" t="s">
        <v>164</v>
      </c>
      <c r="C48" s="12">
        <v>126</v>
      </c>
      <c r="D48" s="8">
        <v>4.8899999999999997</v>
      </c>
      <c r="E48" s="12">
        <v>100</v>
      </c>
      <c r="F48" s="8">
        <v>9.23</v>
      </c>
      <c r="G48" s="12">
        <v>26</v>
      </c>
      <c r="H48" s="8">
        <v>1.76</v>
      </c>
      <c r="I48" s="12">
        <v>0</v>
      </c>
    </row>
    <row r="49" spans="2:9" ht="15" customHeight="1" x14ac:dyDescent="0.2">
      <c r="B49" t="s">
        <v>165</v>
      </c>
      <c r="C49" s="12">
        <v>119</v>
      </c>
      <c r="D49" s="8">
        <v>4.62</v>
      </c>
      <c r="E49" s="12">
        <v>99</v>
      </c>
      <c r="F49" s="8">
        <v>9.1300000000000008</v>
      </c>
      <c r="G49" s="12">
        <v>20</v>
      </c>
      <c r="H49" s="8">
        <v>1.35</v>
      </c>
      <c r="I49" s="12">
        <v>0</v>
      </c>
    </row>
    <row r="50" spans="2:9" ht="15" customHeight="1" x14ac:dyDescent="0.2">
      <c r="B50" t="s">
        <v>177</v>
      </c>
      <c r="C50" s="12">
        <v>106</v>
      </c>
      <c r="D50" s="8">
        <v>4.1100000000000003</v>
      </c>
      <c r="E50" s="12">
        <v>18</v>
      </c>
      <c r="F50" s="8">
        <v>1.66</v>
      </c>
      <c r="G50" s="12">
        <v>87</v>
      </c>
      <c r="H50" s="8">
        <v>5.88</v>
      </c>
      <c r="I50" s="12">
        <v>1</v>
      </c>
    </row>
    <row r="51" spans="2:9" ht="15" customHeight="1" x14ac:dyDescent="0.2">
      <c r="B51" t="s">
        <v>171</v>
      </c>
      <c r="C51" s="12">
        <v>70</v>
      </c>
      <c r="D51" s="8">
        <v>2.72</v>
      </c>
      <c r="E51" s="12">
        <v>59</v>
      </c>
      <c r="F51" s="8">
        <v>5.44</v>
      </c>
      <c r="G51" s="12">
        <v>11</v>
      </c>
      <c r="H51" s="8">
        <v>0.74</v>
      </c>
      <c r="I51" s="12">
        <v>0</v>
      </c>
    </row>
    <row r="52" spans="2:9" ht="15" customHeight="1" x14ac:dyDescent="0.2">
      <c r="B52" t="s">
        <v>169</v>
      </c>
      <c r="C52" s="12">
        <v>68</v>
      </c>
      <c r="D52" s="8">
        <v>2.64</v>
      </c>
      <c r="E52" s="12">
        <v>60</v>
      </c>
      <c r="F52" s="8">
        <v>5.54</v>
      </c>
      <c r="G52" s="12">
        <v>8</v>
      </c>
      <c r="H52" s="8">
        <v>0.54</v>
      </c>
      <c r="I52" s="12">
        <v>0</v>
      </c>
    </row>
    <row r="53" spans="2:9" ht="15" customHeight="1" x14ac:dyDescent="0.2">
      <c r="B53" t="s">
        <v>159</v>
      </c>
      <c r="C53" s="12">
        <v>62</v>
      </c>
      <c r="D53" s="8">
        <v>2.41</v>
      </c>
      <c r="E53" s="12">
        <v>14</v>
      </c>
      <c r="F53" s="8">
        <v>1.29</v>
      </c>
      <c r="G53" s="12">
        <v>47</v>
      </c>
      <c r="H53" s="8">
        <v>3.18</v>
      </c>
      <c r="I53" s="12">
        <v>1</v>
      </c>
    </row>
    <row r="54" spans="2:9" ht="15" customHeight="1" x14ac:dyDescent="0.2">
      <c r="B54" t="s">
        <v>178</v>
      </c>
      <c r="C54" s="12">
        <v>53</v>
      </c>
      <c r="D54" s="8">
        <v>2.06</v>
      </c>
      <c r="E54" s="12">
        <v>5</v>
      </c>
      <c r="F54" s="8">
        <v>0.46</v>
      </c>
      <c r="G54" s="12">
        <v>48</v>
      </c>
      <c r="H54" s="8">
        <v>3.24</v>
      </c>
      <c r="I54" s="12">
        <v>0</v>
      </c>
    </row>
    <row r="55" spans="2:9" ht="15" customHeight="1" x14ac:dyDescent="0.2">
      <c r="B55" t="s">
        <v>167</v>
      </c>
      <c r="C55" s="12">
        <v>52</v>
      </c>
      <c r="D55" s="8">
        <v>2.02</v>
      </c>
      <c r="E55" s="12">
        <v>48</v>
      </c>
      <c r="F55" s="8">
        <v>4.43</v>
      </c>
      <c r="G55" s="12">
        <v>4</v>
      </c>
      <c r="H55" s="8">
        <v>0.27</v>
      </c>
      <c r="I55" s="12">
        <v>0</v>
      </c>
    </row>
    <row r="56" spans="2:9" ht="15" customHeight="1" x14ac:dyDescent="0.2">
      <c r="B56" t="s">
        <v>166</v>
      </c>
      <c r="C56" s="12">
        <v>49</v>
      </c>
      <c r="D56" s="8">
        <v>1.9</v>
      </c>
      <c r="E56" s="12">
        <v>46</v>
      </c>
      <c r="F56" s="8">
        <v>4.24</v>
      </c>
      <c r="G56" s="12">
        <v>3</v>
      </c>
      <c r="H56" s="8">
        <v>0.2</v>
      </c>
      <c r="I56" s="12">
        <v>0</v>
      </c>
    </row>
    <row r="57" spans="2:9" ht="15" customHeight="1" x14ac:dyDescent="0.2">
      <c r="B57" t="s">
        <v>170</v>
      </c>
      <c r="C57" s="12">
        <v>49</v>
      </c>
      <c r="D57" s="8">
        <v>1.9</v>
      </c>
      <c r="E57" s="12">
        <v>34</v>
      </c>
      <c r="F57" s="8">
        <v>3.14</v>
      </c>
      <c r="G57" s="12">
        <v>15</v>
      </c>
      <c r="H57" s="8">
        <v>1.01</v>
      </c>
      <c r="I57" s="12">
        <v>0</v>
      </c>
    </row>
    <row r="58" spans="2:9" ht="15" customHeight="1" x14ac:dyDescent="0.2">
      <c r="B58" t="s">
        <v>158</v>
      </c>
      <c r="C58" s="12">
        <v>43</v>
      </c>
      <c r="D58" s="8">
        <v>1.67</v>
      </c>
      <c r="E58" s="12">
        <v>7</v>
      </c>
      <c r="F58" s="8">
        <v>0.65</v>
      </c>
      <c r="G58" s="12">
        <v>36</v>
      </c>
      <c r="H58" s="8">
        <v>2.4300000000000002</v>
      </c>
      <c r="I58" s="12">
        <v>0</v>
      </c>
    </row>
    <row r="59" spans="2:9" ht="15" customHeight="1" x14ac:dyDescent="0.2">
      <c r="B59" t="s">
        <v>163</v>
      </c>
      <c r="C59" s="12">
        <v>43</v>
      </c>
      <c r="D59" s="8">
        <v>1.67</v>
      </c>
      <c r="E59" s="12">
        <v>42</v>
      </c>
      <c r="F59" s="8">
        <v>3.87</v>
      </c>
      <c r="G59" s="12">
        <v>1</v>
      </c>
      <c r="H59" s="8">
        <v>7.0000000000000007E-2</v>
      </c>
      <c r="I59" s="12">
        <v>0</v>
      </c>
    </row>
    <row r="60" spans="2:9" ht="15" customHeight="1" x14ac:dyDescent="0.2">
      <c r="B60" t="s">
        <v>168</v>
      </c>
      <c r="C60" s="12">
        <v>39</v>
      </c>
      <c r="D60" s="8">
        <v>1.51</v>
      </c>
      <c r="E60" s="12">
        <v>33</v>
      </c>
      <c r="F60" s="8">
        <v>3.04</v>
      </c>
      <c r="G60" s="12">
        <v>6</v>
      </c>
      <c r="H60" s="8">
        <v>0.41</v>
      </c>
      <c r="I60" s="12">
        <v>0</v>
      </c>
    </row>
    <row r="61" spans="2:9" ht="15" customHeight="1" x14ac:dyDescent="0.2">
      <c r="B61" t="s">
        <v>161</v>
      </c>
      <c r="C61" s="12">
        <v>36</v>
      </c>
      <c r="D61" s="8">
        <v>1.4</v>
      </c>
      <c r="E61" s="12">
        <v>22</v>
      </c>
      <c r="F61" s="8">
        <v>2.0299999999999998</v>
      </c>
      <c r="G61" s="12">
        <v>14</v>
      </c>
      <c r="H61" s="8">
        <v>0.95</v>
      </c>
      <c r="I61" s="12">
        <v>0</v>
      </c>
    </row>
    <row r="62" spans="2:9" ht="15" customHeight="1" x14ac:dyDescent="0.2">
      <c r="B62" t="s">
        <v>175</v>
      </c>
      <c r="C62" s="12">
        <v>35</v>
      </c>
      <c r="D62" s="8">
        <v>1.36</v>
      </c>
      <c r="E62" s="12">
        <v>6</v>
      </c>
      <c r="F62" s="8">
        <v>0.55000000000000004</v>
      </c>
      <c r="G62" s="12">
        <v>29</v>
      </c>
      <c r="H62" s="8">
        <v>1.96</v>
      </c>
      <c r="I62" s="12">
        <v>0</v>
      </c>
    </row>
    <row r="63" spans="2:9" ht="15" customHeight="1" x14ac:dyDescent="0.2">
      <c r="B63" t="s">
        <v>157</v>
      </c>
      <c r="C63" s="12">
        <v>34</v>
      </c>
      <c r="D63" s="8">
        <v>1.32</v>
      </c>
      <c r="E63" s="12">
        <v>24</v>
      </c>
      <c r="F63" s="8">
        <v>2.21</v>
      </c>
      <c r="G63" s="12">
        <v>10</v>
      </c>
      <c r="H63" s="8">
        <v>0.68</v>
      </c>
      <c r="I63" s="12">
        <v>0</v>
      </c>
    </row>
    <row r="64" spans="2:9" ht="15" customHeight="1" x14ac:dyDescent="0.2">
      <c r="B64" t="s">
        <v>172</v>
      </c>
      <c r="C64" s="12">
        <v>34</v>
      </c>
      <c r="D64" s="8">
        <v>1.32</v>
      </c>
      <c r="E64" s="12">
        <v>9</v>
      </c>
      <c r="F64" s="8">
        <v>0.83</v>
      </c>
      <c r="G64" s="12">
        <v>24</v>
      </c>
      <c r="H64" s="8">
        <v>1.62</v>
      </c>
      <c r="I64" s="12">
        <v>0</v>
      </c>
    </row>
    <row r="65" spans="2:9" ht="15" customHeight="1" x14ac:dyDescent="0.2">
      <c r="B65" t="s">
        <v>179</v>
      </c>
      <c r="C65" s="12">
        <v>31</v>
      </c>
      <c r="D65" s="8">
        <v>1.2</v>
      </c>
      <c r="E65" s="12">
        <v>4</v>
      </c>
      <c r="F65" s="8">
        <v>0.37</v>
      </c>
      <c r="G65" s="12">
        <v>27</v>
      </c>
      <c r="H65" s="8">
        <v>1.82</v>
      </c>
      <c r="I65" s="12">
        <v>0</v>
      </c>
    </row>
    <row r="66" spans="2:9" ht="15" customHeight="1" x14ac:dyDescent="0.2">
      <c r="B66" t="s">
        <v>180</v>
      </c>
      <c r="C66" s="12">
        <v>31</v>
      </c>
      <c r="D66" s="8">
        <v>1.2</v>
      </c>
      <c r="E66" s="12">
        <v>4</v>
      </c>
      <c r="F66" s="8">
        <v>0.37</v>
      </c>
      <c r="G66" s="12">
        <v>27</v>
      </c>
      <c r="H66" s="8">
        <v>1.82</v>
      </c>
      <c r="I66" s="12">
        <v>0</v>
      </c>
    </row>
    <row r="68" spans="2:9" ht="15" customHeight="1" x14ac:dyDescent="0.2">
      <c r="B68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E19F0-713E-4F91-9E87-E9E5CB76902E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278</v>
      </c>
    </row>
    <row r="4" spans="2:9" ht="33" customHeight="1" x14ac:dyDescent="0.2">
      <c r="B4" t="s">
        <v>270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178</v>
      </c>
      <c r="D6" s="8">
        <v>12.84</v>
      </c>
      <c r="E6" s="12">
        <v>37</v>
      </c>
      <c r="F6" s="8">
        <v>5.14</v>
      </c>
      <c r="G6" s="12">
        <v>141</v>
      </c>
      <c r="H6" s="8">
        <v>21.27</v>
      </c>
      <c r="I6" s="12">
        <v>0</v>
      </c>
    </row>
    <row r="7" spans="2:9" ht="15" customHeight="1" x14ac:dyDescent="0.2">
      <c r="B7" t="s">
        <v>77</v>
      </c>
      <c r="C7" s="12">
        <v>126</v>
      </c>
      <c r="D7" s="8">
        <v>9.09</v>
      </c>
      <c r="E7" s="12">
        <v>30</v>
      </c>
      <c r="F7" s="8">
        <v>4.17</v>
      </c>
      <c r="G7" s="12">
        <v>96</v>
      </c>
      <c r="H7" s="8">
        <v>14.48</v>
      </c>
      <c r="I7" s="12">
        <v>0</v>
      </c>
    </row>
    <row r="8" spans="2:9" ht="15" customHeight="1" x14ac:dyDescent="0.2">
      <c r="B8" t="s">
        <v>78</v>
      </c>
      <c r="C8" s="12">
        <v>2</v>
      </c>
      <c r="D8" s="8">
        <v>0.14000000000000001</v>
      </c>
      <c r="E8" s="12">
        <v>0</v>
      </c>
      <c r="F8" s="8">
        <v>0</v>
      </c>
      <c r="G8" s="12">
        <v>2</v>
      </c>
      <c r="H8" s="8">
        <v>0.3</v>
      </c>
      <c r="I8" s="12">
        <v>0</v>
      </c>
    </row>
    <row r="9" spans="2:9" ht="15" customHeight="1" x14ac:dyDescent="0.2">
      <c r="B9" t="s">
        <v>79</v>
      </c>
      <c r="C9" s="12">
        <v>18</v>
      </c>
      <c r="D9" s="8">
        <v>1.3</v>
      </c>
      <c r="E9" s="12">
        <v>1</v>
      </c>
      <c r="F9" s="8">
        <v>0.14000000000000001</v>
      </c>
      <c r="G9" s="12">
        <v>17</v>
      </c>
      <c r="H9" s="8">
        <v>2.56</v>
      </c>
      <c r="I9" s="12">
        <v>0</v>
      </c>
    </row>
    <row r="10" spans="2:9" ht="15" customHeight="1" x14ac:dyDescent="0.2">
      <c r="B10" t="s">
        <v>80</v>
      </c>
      <c r="C10" s="12">
        <v>45</v>
      </c>
      <c r="D10" s="8">
        <v>3.25</v>
      </c>
      <c r="E10" s="12">
        <v>6</v>
      </c>
      <c r="F10" s="8">
        <v>0.83</v>
      </c>
      <c r="G10" s="12">
        <v>39</v>
      </c>
      <c r="H10" s="8">
        <v>5.88</v>
      </c>
      <c r="I10" s="12">
        <v>0</v>
      </c>
    </row>
    <row r="11" spans="2:9" ht="15" customHeight="1" x14ac:dyDescent="0.2">
      <c r="B11" t="s">
        <v>81</v>
      </c>
      <c r="C11" s="12">
        <v>297</v>
      </c>
      <c r="D11" s="8">
        <v>21.43</v>
      </c>
      <c r="E11" s="12">
        <v>167</v>
      </c>
      <c r="F11" s="8">
        <v>23.19</v>
      </c>
      <c r="G11" s="12">
        <v>130</v>
      </c>
      <c r="H11" s="8">
        <v>19.61</v>
      </c>
      <c r="I11" s="12">
        <v>0</v>
      </c>
    </row>
    <row r="12" spans="2:9" ht="15" customHeight="1" x14ac:dyDescent="0.2">
      <c r="B12" t="s">
        <v>82</v>
      </c>
      <c r="C12" s="12">
        <v>6</v>
      </c>
      <c r="D12" s="8">
        <v>0.43</v>
      </c>
      <c r="E12" s="12">
        <v>1</v>
      </c>
      <c r="F12" s="8">
        <v>0.14000000000000001</v>
      </c>
      <c r="G12" s="12">
        <v>5</v>
      </c>
      <c r="H12" s="8">
        <v>0.75</v>
      </c>
      <c r="I12" s="12">
        <v>0</v>
      </c>
    </row>
    <row r="13" spans="2:9" ht="15" customHeight="1" x14ac:dyDescent="0.2">
      <c r="B13" t="s">
        <v>83</v>
      </c>
      <c r="C13" s="12">
        <v>148</v>
      </c>
      <c r="D13" s="8">
        <v>10.68</v>
      </c>
      <c r="E13" s="12">
        <v>78</v>
      </c>
      <c r="F13" s="8">
        <v>10.83</v>
      </c>
      <c r="G13" s="12">
        <v>70</v>
      </c>
      <c r="H13" s="8">
        <v>10.56</v>
      </c>
      <c r="I13" s="12">
        <v>0</v>
      </c>
    </row>
    <row r="14" spans="2:9" ht="15" customHeight="1" x14ac:dyDescent="0.2">
      <c r="B14" t="s">
        <v>84</v>
      </c>
      <c r="C14" s="12">
        <v>48</v>
      </c>
      <c r="D14" s="8">
        <v>3.46</v>
      </c>
      <c r="E14" s="12">
        <v>23</v>
      </c>
      <c r="F14" s="8">
        <v>3.19</v>
      </c>
      <c r="G14" s="12">
        <v>25</v>
      </c>
      <c r="H14" s="8">
        <v>3.77</v>
      </c>
      <c r="I14" s="12">
        <v>0</v>
      </c>
    </row>
    <row r="15" spans="2:9" ht="15" customHeight="1" x14ac:dyDescent="0.2">
      <c r="B15" t="s">
        <v>85</v>
      </c>
      <c r="C15" s="12">
        <v>234</v>
      </c>
      <c r="D15" s="8">
        <v>16.88</v>
      </c>
      <c r="E15" s="12">
        <v>196</v>
      </c>
      <c r="F15" s="8">
        <v>27.22</v>
      </c>
      <c r="G15" s="12">
        <v>38</v>
      </c>
      <c r="H15" s="8">
        <v>5.73</v>
      </c>
      <c r="I15" s="12">
        <v>0</v>
      </c>
    </row>
    <row r="16" spans="2:9" ht="15" customHeight="1" x14ac:dyDescent="0.2">
      <c r="B16" t="s">
        <v>86</v>
      </c>
      <c r="C16" s="12">
        <v>132</v>
      </c>
      <c r="D16" s="8">
        <v>9.52</v>
      </c>
      <c r="E16" s="12">
        <v>106</v>
      </c>
      <c r="F16" s="8">
        <v>14.72</v>
      </c>
      <c r="G16" s="12">
        <v>26</v>
      </c>
      <c r="H16" s="8">
        <v>3.92</v>
      </c>
      <c r="I16" s="12">
        <v>0</v>
      </c>
    </row>
    <row r="17" spans="2:9" ht="15" customHeight="1" x14ac:dyDescent="0.2">
      <c r="B17" t="s">
        <v>87</v>
      </c>
      <c r="C17" s="12">
        <v>41</v>
      </c>
      <c r="D17" s="8">
        <v>2.96</v>
      </c>
      <c r="E17" s="12">
        <v>32</v>
      </c>
      <c r="F17" s="8">
        <v>4.4400000000000004</v>
      </c>
      <c r="G17" s="12">
        <v>8</v>
      </c>
      <c r="H17" s="8">
        <v>1.21</v>
      </c>
      <c r="I17" s="12">
        <v>0</v>
      </c>
    </row>
    <row r="18" spans="2:9" ht="15" customHeight="1" x14ac:dyDescent="0.2">
      <c r="B18" t="s">
        <v>88</v>
      </c>
      <c r="C18" s="12">
        <v>59</v>
      </c>
      <c r="D18" s="8">
        <v>4.26</v>
      </c>
      <c r="E18" s="12">
        <v>37</v>
      </c>
      <c r="F18" s="8">
        <v>5.14</v>
      </c>
      <c r="G18" s="12">
        <v>21</v>
      </c>
      <c r="H18" s="8">
        <v>3.17</v>
      </c>
      <c r="I18" s="12">
        <v>1</v>
      </c>
    </row>
    <row r="19" spans="2:9" ht="15" customHeight="1" x14ac:dyDescent="0.2">
      <c r="B19" t="s">
        <v>89</v>
      </c>
      <c r="C19" s="12">
        <v>52</v>
      </c>
      <c r="D19" s="8">
        <v>3.75</v>
      </c>
      <c r="E19" s="12">
        <v>6</v>
      </c>
      <c r="F19" s="8">
        <v>0.83</v>
      </c>
      <c r="G19" s="12">
        <v>45</v>
      </c>
      <c r="H19" s="8">
        <v>6.79</v>
      </c>
      <c r="I19" s="12">
        <v>1</v>
      </c>
    </row>
    <row r="20" spans="2:9" ht="15" customHeight="1" x14ac:dyDescent="0.2">
      <c r="B20" s="9" t="s">
        <v>271</v>
      </c>
      <c r="C20" s="12">
        <f>SUM(LTBL_27104[総数／事業所数])</f>
        <v>1386</v>
      </c>
      <c r="E20" s="12">
        <f>SUBTOTAL(109,LTBL_27104[個人／事業所数])</f>
        <v>720</v>
      </c>
      <c r="G20" s="12">
        <f>SUBTOTAL(109,LTBL_27104[法人／事業所数])</f>
        <v>663</v>
      </c>
      <c r="I20" s="12">
        <f>SUBTOTAL(109,LTBL_27104[法人以外の団体／事業所数])</f>
        <v>2</v>
      </c>
    </row>
    <row r="21" spans="2:9" ht="15" customHeight="1" x14ac:dyDescent="0.2">
      <c r="E21" s="11">
        <f>LTBL_27104[[#Totals],[個人／事業所数]]/LTBL_27104[[#Totals],[総数／事業所数]]</f>
        <v>0.51948051948051943</v>
      </c>
      <c r="G21" s="11">
        <f>LTBL_27104[[#Totals],[法人／事業所数]]/LTBL_27104[[#Totals],[総数／事業所数]]</f>
        <v>0.47835497835497837</v>
      </c>
      <c r="I21" s="11">
        <f>LTBL_27104[[#Totals],[法人以外の団体／事業所数]]/LTBL_27104[[#Totals],[総数／事業所数]]</f>
        <v>1.443001443001443E-3</v>
      </c>
    </row>
    <row r="23" spans="2:9" ht="33" customHeight="1" x14ac:dyDescent="0.2">
      <c r="B23" t="s">
        <v>272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113</v>
      </c>
      <c r="C24" s="12">
        <v>212</v>
      </c>
      <c r="D24" s="8">
        <v>15.3</v>
      </c>
      <c r="E24" s="12">
        <v>189</v>
      </c>
      <c r="F24" s="8">
        <v>26.25</v>
      </c>
      <c r="G24" s="12">
        <v>23</v>
      </c>
      <c r="H24" s="8">
        <v>3.47</v>
      </c>
      <c r="I24" s="12">
        <v>0</v>
      </c>
    </row>
    <row r="25" spans="2:9" ht="15" customHeight="1" x14ac:dyDescent="0.2">
      <c r="B25" t="s">
        <v>110</v>
      </c>
      <c r="C25" s="12">
        <v>123</v>
      </c>
      <c r="D25" s="8">
        <v>8.8699999999999992</v>
      </c>
      <c r="E25" s="12">
        <v>71</v>
      </c>
      <c r="F25" s="8">
        <v>9.86</v>
      </c>
      <c r="G25" s="12">
        <v>52</v>
      </c>
      <c r="H25" s="8">
        <v>7.84</v>
      </c>
      <c r="I25" s="12">
        <v>0</v>
      </c>
    </row>
    <row r="26" spans="2:9" ht="15" customHeight="1" x14ac:dyDescent="0.2">
      <c r="B26" t="s">
        <v>114</v>
      </c>
      <c r="C26" s="12">
        <v>106</v>
      </c>
      <c r="D26" s="8">
        <v>7.65</v>
      </c>
      <c r="E26" s="12">
        <v>92</v>
      </c>
      <c r="F26" s="8">
        <v>12.78</v>
      </c>
      <c r="G26" s="12">
        <v>14</v>
      </c>
      <c r="H26" s="8">
        <v>2.11</v>
      </c>
      <c r="I26" s="12">
        <v>0</v>
      </c>
    </row>
    <row r="27" spans="2:9" ht="15" customHeight="1" x14ac:dyDescent="0.2">
      <c r="B27" t="s">
        <v>106</v>
      </c>
      <c r="C27" s="12">
        <v>78</v>
      </c>
      <c r="D27" s="8">
        <v>5.63</v>
      </c>
      <c r="E27" s="12">
        <v>65</v>
      </c>
      <c r="F27" s="8">
        <v>9.0299999999999994</v>
      </c>
      <c r="G27" s="12">
        <v>13</v>
      </c>
      <c r="H27" s="8">
        <v>1.96</v>
      </c>
      <c r="I27" s="12">
        <v>0</v>
      </c>
    </row>
    <row r="28" spans="2:9" ht="15" customHeight="1" x14ac:dyDescent="0.2">
      <c r="B28" t="s">
        <v>108</v>
      </c>
      <c r="C28" s="12">
        <v>75</v>
      </c>
      <c r="D28" s="8">
        <v>5.41</v>
      </c>
      <c r="E28" s="12">
        <v>50</v>
      </c>
      <c r="F28" s="8">
        <v>6.94</v>
      </c>
      <c r="G28" s="12">
        <v>25</v>
      </c>
      <c r="H28" s="8">
        <v>3.77</v>
      </c>
      <c r="I28" s="12">
        <v>0</v>
      </c>
    </row>
    <row r="29" spans="2:9" ht="15" customHeight="1" x14ac:dyDescent="0.2">
      <c r="B29" t="s">
        <v>100</v>
      </c>
      <c r="C29" s="12">
        <v>66</v>
      </c>
      <c r="D29" s="8">
        <v>4.76</v>
      </c>
      <c r="E29" s="12">
        <v>10</v>
      </c>
      <c r="F29" s="8">
        <v>1.39</v>
      </c>
      <c r="G29" s="12">
        <v>56</v>
      </c>
      <c r="H29" s="8">
        <v>8.4499999999999993</v>
      </c>
      <c r="I29" s="12">
        <v>0</v>
      </c>
    </row>
    <row r="30" spans="2:9" ht="15" customHeight="1" x14ac:dyDescent="0.2">
      <c r="B30" t="s">
        <v>99</v>
      </c>
      <c r="C30" s="12">
        <v>57</v>
      </c>
      <c r="D30" s="8">
        <v>4.1100000000000003</v>
      </c>
      <c r="E30" s="12">
        <v>13</v>
      </c>
      <c r="F30" s="8">
        <v>1.81</v>
      </c>
      <c r="G30" s="12">
        <v>44</v>
      </c>
      <c r="H30" s="8">
        <v>6.64</v>
      </c>
      <c r="I30" s="12">
        <v>0</v>
      </c>
    </row>
    <row r="31" spans="2:9" ht="15" customHeight="1" x14ac:dyDescent="0.2">
      <c r="B31" t="s">
        <v>98</v>
      </c>
      <c r="C31" s="12">
        <v>55</v>
      </c>
      <c r="D31" s="8">
        <v>3.97</v>
      </c>
      <c r="E31" s="12">
        <v>14</v>
      </c>
      <c r="F31" s="8">
        <v>1.94</v>
      </c>
      <c r="G31" s="12">
        <v>41</v>
      </c>
      <c r="H31" s="8">
        <v>6.18</v>
      </c>
      <c r="I31" s="12">
        <v>0</v>
      </c>
    </row>
    <row r="32" spans="2:9" ht="15" customHeight="1" x14ac:dyDescent="0.2">
      <c r="B32" t="s">
        <v>116</v>
      </c>
      <c r="C32" s="12">
        <v>46</v>
      </c>
      <c r="D32" s="8">
        <v>3.32</v>
      </c>
      <c r="E32" s="12">
        <v>37</v>
      </c>
      <c r="F32" s="8">
        <v>5.14</v>
      </c>
      <c r="G32" s="12">
        <v>9</v>
      </c>
      <c r="H32" s="8">
        <v>1.36</v>
      </c>
      <c r="I32" s="12">
        <v>0</v>
      </c>
    </row>
    <row r="33" spans="2:9" ht="15" customHeight="1" x14ac:dyDescent="0.2">
      <c r="B33" t="s">
        <v>115</v>
      </c>
      <c r="C33" s="12">
        <v>41</v>
      </c>
      <c r="D33" s="8">
        <v>2.96</v>
      </c>
      <c r="E33" s="12">
        <v>32</v>
      </c>
      <c r="F33" s="8">
        <v>4.4400000000000004</v>
      </c>
      <c r="G33" s="12">
        <v>8</v>
      </c>
      <c r="H33" s="8">
        <v>1.21</v>
      </c>
      <c r="I33" s="12">
        <v>0</v>
      </c>
    </row>
    <row r="34" spans="2:9" ht="15" customHeight="1" x14ac:dyDescent="0.2">
      <c r="B34" t="s">
        <v>101</v>
      </c>
      <c r="C34" s="12">
        <v>27</v>
      </c>
      <c r="D34" s="8">
        <v>1.95</v>
      </c>
      <c r="E34" s="12">
        <v>5</v>
      </c>
      <c r="F34" s="8">
        <v>0.69</v>
      </c>
      <c r="G34" s="12">
        <v>22</v>
      </c>
      <c r="H34" s="8">
        <v>3.32</v>
      </c>
      <c r="I34" s="12">
        <v>0</v>
      </c>
    </row>
    <row r="35" spans="2:9" ht="15" customHeight="1" x14ac:dyDescent="0.2">
      <c r="B35" t="s">
        <v>105</v>
      </c>
      <c r="C35" s="12">
        <v>27</v>
      </c>
      <c r="D35" s="8">
        <v>1.95</v>
      </c>
      <c r="E35" s="12">
        <v>22</v>
      </c>
      <c r="F35" s="8">
        <v>3.06</v>
      </c>
      <c r="G35" s="12">
        <v>5</v>
      </c>
      <c r="H35" s="8">
        <v>0.75</v>
      </c>
      <c r="I35" s="12">
        <v>0</v>
      </c>
    </row>
    <row r="36" spans="2:9" ht="15" customHeight="1" x14ac:dyDescent="0.2">
      <c r="B36" t="s">
        <v>107</v>
      </c>
      <c r="C36" s="12">
        <v>27</v>
      </c>
      <c r="D36" s="8">
        <v>1.95</v>
      </c>
      <c r="E36" s="12">
        <v>17</v>
      </c>
      <c r="F36" s="8">
        <v>2.36</v>
      </c>
      <c r="G36" s="12">
        <v>10</v>
      </c>
      <c r="H36" s="8">
        <v>1.51</v>
      </c>
      <c r="I36" s="12">
        <v>0</v>
      </c>
    </row>
    <row r="37" spans="2:9" ht="15" customHeight="1" x14ac:dyDescent="0.2">
      <c r="B37" t="s">
        <v>102</v>
      </c>
      <c r="C37" s="12">
        <v>25</v>
      </c>
      <c r="D37" s="8">
        <v>1.8</v>
      </c>
      <c r="E37" s="12">
        <v>8</v>
      </c>
      <c r="F37" s="8">
        <v>1.1100000000000001</v>
      </c>
      <c r="G37" s="12">
        <v>17</v>
      </c>
      <c r="H37" s="8">
        <v>2.56</v>
      </c>
      <c r="I37" s="12">
        <v>0</v>
      </c>
    </row>
    <row r="38" spans="2:9" ht="15" customHeight="1" x14ac:dyDescent="0.2">
      <c r="B38" t="s">
        <v>111</v>
      </c>
      <c r="C38" s="12">
        <v>24</v>
      </c>
      <c r="D38" s="8">
        <v>1.73</v>
      </c>
      <c r="E38" s="12">
        <v>17</v>
      </c>
      <c r="F38" s="8">
        <v>2.36</v>
      </c>
      <c r="G38" s="12">
        <v>7</v>
      </c>
      <c r="H38" s="8">
        <v>1.06</v>
      </c>
      <c r="I38" s="12">
        <v>0</v>
      </c>
    </row>
    <row r="39" spans="2:9" ht="15" customHeight="1" x14ac:dyDescent="0.2">
      <c r="B39" t="s">
        <v>119</v>
      </c>
      <c r="C39" s="12">
        <v>23</v>
      </c>
      <c r="D39" s="8">
        <v>1.66</v>
      </c>
      <c r="E39" s="12">
        <v>2</v>
      </c>
      <c r="F39" s="8">
        <v>0.28000000000000003</v>
      </c>
      <c r="G39" s="12">
        <v>20</v>
      </c>
      <c r="H39" s="8">
        <v>3.02</v>
      </c>
      <c r="I39" s="12">
        <v>1</v>
      </c>
    </row>
    <row r="40" spans="2:9" ht="15" customHeight="1" x14ac:dyDescent="0.2">
      <c r="B40" t="s">
        <v>122</v>
      </c>
      <c r="C40" s="12">
        <v>22</v>
      </c>
      <c r="D40" s="8">
        <v>1.59</v>
      </c>
      <c r="E40" s="12">
        <v>2</v>
      </c>
      <c r="F40" s="8">
        <v>0.28000000000000003</v>
      </c>
      <c r="G40" s="12">
        <v>20</v>
      </c>
      <c r="H40" s="8">
        <v>3.02</v>
      </c>
      <c r="I40" s="12">
        <v>0</v>
      </c>
    </row>
    <row r="41" spans="2:9" ht="15" customHeight="1" x14ac:dyDescent="0.2">
      <c r="B41" t="s">
        <v>112</v>
      </c>
      <c r="C41" s="12">
        <v>22</v>
      </c>
      <c r="D41" s="8">
        <v>1.59</v>
      </c>
      <c r="E41" s="12">
        <v>6</v>
      </c>
      <c r="F41" s="8">
        <v>0.83</v>
      </c>
      <c r="G41" s="12">
        <v>16</v>
      </c>
      <c r="H41" s="8">
        <v>2.41</v>
      </c>
      <c r="I41" s="12">
        <v>0</v>
      </c>
    </row>
    <row r="42" spans="2:9" ht="15" customHeight="1" x14ac:dyDescent="0.2">
      <c r="B42" t="s">
        <v>103</v>
      </c>
      <c r="C42" s="12">
        <v>21</v>
      </c>
      <c r="D42" s="8">
        <v>1.52</v>
      </c>
      <c r="E42" s="12">
        <v>1</v>
      </c>
      <c r="F42" s="8">
        <v>0.14000000000000001</v>
      </c>
      <c r="G42" s="12">
        <v>20</v>
      </c>
      <c r="H42" s="8">
        <v>3.02</v>
      </c>
      <c r="I42" s="12">
        <v>0</v>
      </c>
    </row>
    <row r="43" spans="2:9" ht="15" customHeight="1" x14ac:dyDescent="0.2">
      <c r="B43" t="s">
        <v>123</v>
      </c>
      <c r="C43" s="12">
        <v>16</v>
      </c>
      <c r="D43" s="8">
        <v>1.1499999999999999</v>
      </c>
      <c r="E43" s="12">
        <v>0</v>
      </c>
      <c r="F43" s="8">
        <v>0</v>
      </c>
      <c r="G43" s="12">
        <v>16</v>
      </c>
      <c r="H43" s="8">
        <v>2.41</v>
      </c>
      <c r="I43" s="12">
        <v>0</v>
      </c>
    </row>
    <row r="44" spans="2:9" ht="15" customHeight="1" x14ac:dyDescent="0.2">
      <c r="B44" t="s">
        <v>109</v>
      </c>
      <c r="C44" s="12">
        <v>16</v>
      </c>
      <c r="D44" s="8">
        <v>1.1499999999999999</v>
      </c>
      <c r="E44" s="12">
        <v>6</v>
      </c>
      <c r="F44" s="8">
        <v>0.83</v>
      </c>
      <c r="G44" s="12">
        <v>10</v>
      </c>
      <c r="H44" s="8">
        <v>1.51</v>
      </c>
      <c r="I44" s="12">
        <v>0</v>
      </c>
    </row>
    <row r="45" spans="2:9" ht="15" customHeight="1" x14ac:dyDescent="0.2">
      <c r="B45" t="s">
        <v>124</v>
      </c>
      <c r="C45" s="12">
        <v>16</v>
      </c>
      <c r="D45" s="8">
        <v>1.1499999999999999</v>
      </c>
      <c r="E45" s="12">
        <v>4</v>
      </c>
      <c r="F45" s="8">
        <v>0.56000000000000005</v>
      </c>
      <c r="G45" s="12">
        <v>12</v>
      </c>
      <c r="H45" s="8">
        <v>1.81</v>
      </c>
      <c r="I45" s="12">
        <v>0</v>
      </c>
    </row>
    <row r="48" spans="2:9" ht="33" customHeight="1" x14ac:dyDescent="0.2">
      <c r="B48" t="s">
        <v>273</v>
      </c>
      <c r="C48" s="10" t="s">
        <v>91</v>
      </c>
      <c r="D48" s="10" t="s">
        <v>92</v>
      </c>
      <c r="E48" s="10" t="s">
        <v>93</v>
      </c>
      <c r="F48" s="10" t="s">
        <v>94</v>
      </c>
      <c r="G48" s="10" t="s">
        <v>95</v>
      </c>
      <c r="H48" s="10" t="s">
        <v>96</v>
      </c>
      <c r="I48" s="10" t="s">
        <v>97</v>
      </c>
    </row>
    <row r="49" spans="2:9" ht="15" customHeight="1" x14ac:dyDescent="0.2">
      <c r="B49" t="s">
        <v>160</v>
      </c>
      <c r="C49" s="12">
        <v>68</v>
      </c>
      <c r="D49" s="8">
        <v>4.91</v>
      </c>
      <c r="E49" s="12">
        <v>38</v>
      </c>
      <c r="F49" s="8">
        <v>5.28</v>
      </c>
      <c r="G49" s="12">
        <v>30</v>
      </c>
      <c r="H49" s="8">
        <v>4.5199999999999996</v>
      </c>
      <c r="I49" s="12">
        <v>0</v>
      </c>
    </row>
    <row r="50" spans="2:9" ht="15" customHeight="1" x14ac:dyDescent="0.2">
      <c r="B50" t="s">
        <v>165</v>
      </c>
      <c r="C50" s="12">
        <v>62</v>
      </c>
      <c r="D50" s="8">
        <v>4.47</v>
      </c>
      <c r="E50" s="12">
        <v>55</v>
      </c>
      <c r="F50" s="8">
        <v>7.64</v>
      </c>
      <c r="G50" s="12">
        <v>7</v>
      </c>
      <c r="H50" s="8">
        <v>1.06</v>
      </c>
      <c r="I50" s="12">
        <v>0</v>
      </c>
    </row>
    <row r="51" spans="2:9" ht="15" customHeight="1" x14ac:dyDescent="0.2">
      <c r="B51" t="s">
        <v>169</v>
      </c>
      <c r="C51" s="12">
        <v>54</v>
      </c>
      <c r="D51" s="8">
        <v>3.9</v>
      </c>
      <c r="E51" s="12">
        <v>46</v>
      </c>
      <c r="F51" s="8">
        <v>6.39</v>
      </c>
      <c r="G51" s="12">
        <v>8</v>
      </c>
      <c r="H51" s="8">
        <v>1.21</v>
      </c>
      <c r="I51" s="12">
        <v>0</v>
      </c>
    </row>
    <row r="52" spans="2:9" ht="15" customHeight="1" x14ac:dyDescent="0.2">
      <c r="B52" t="s">
        <v>167</v>
      </c>
      <c r="C52" s="12">
        <v>45</v>
      </c>
      <c r="D52" s="8">
        <v>3.25</v>
      </c>
      <c r="E52" s="12">
        <v>45</v>
      </c>
      <c r="F52" s="8">
        <v>6.25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156</v>
      </c>
      <c r="C53" s="12">
        <v>35</v>
      </c>
      <c r="D53" s="8">
        <v>2.5299999999999998</v>
      </c>
      <c r="E53" s="12">
        <v>27</v>
      </c>
      <c r="F53" s="8">
        <v>3.75</v>
      </c>
      <c r="G53" s="12">
        <v>8</v>
      </c>
      <c r="H53" s="8">
        <v>1.21</v>
      </c>
      <c r="I53" s="12">
        <v>0</v>
      </c>
    </row>
    <row r="54" spans="2:9" ht="15" customHeight="1" x14ac:dyDescent="0.2">
      <c r="B54" t="s">
        <v>164</v>
      </c>
      <c r="C54" s="12">
        <v>34</v>
      </c>
      <c r="D54" s="8">
        <v>2.4500000000000002</v>
      </c>
      <c r="E54" s="12">
        <v>25</v>
      </c>
      <c r="F54" s="8">
        <v>3.47</v>
      </c>
      <c r="G54" s="12">
        <v>9</v>
      </c>
      <c r="H54" s="8">
        <v>1.36</v>
      </c>
      <c r="I54" s="12">
        <v>0</v>
      </c>
    </row>
    <row r="55" spans="2:9" ht="15" customHeight="1" x14ac:dyDescent="0.2">
      <c r="B55" t="s">
        <v>171</v>
      </c>
      <c r="C55" s="12">
        <v>33</v>
      </c>
      <c r="D55" s="8">
        <v>2.38</v>
      </c>
      <c r="E55" s="12">
        <v>26</v>
      </c>
      <c r="F55" s="8">
        <v>3.61</v>
      </c>
      <c r="G55" s="12">
        <v>7</v>
      </c>
      <c r="H55" s="8">
        <v>1.06</v>
      </c>
      <c r="I55" s="12">
        <v>0</v>
      </c>
    </row>
    <row r="56" spans="2:9" ht="15" customHeight="1" x14ac:dyDescent="0.2">
      <c r="B56" t="s">
        <v>161</v>
      </c>
      <c r="C56" s="12">
        <v>32</v>
      </c>
      <c r="D56" s="8">
        <v>2.31</v>
      </c>
      <c r="E56" s="12">
        <v>26</v>
      </c>
      <c r="F56" s="8">
        <v>3.61</v>
      </c>
      <c r="G56" s="12">
        <v>6</v>
      </c>
      <c r="H56" s="8">
        <v>0.9</v>
      </c>
      <c r="I56" s="12">
        <v>0</v>
      </c>
    </row>
    <row r="57" spans="2:9" ht="15" customHeight="1" x14ac:dyDescent="0.2">
      <c r="B57" t="s">
        <v>166</v>
      </c>
      <c r="C57" s="12">
        <v>27</v>
      </c>
      <c r="D57" s="8">
        <v>1.95</v>
      </c>
      <c r="E57" s="12">
        <v>27</v>
      </c>
      <c r="F57" s="8">
        <v>3.75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152</v>
      </c>
      <c r="C58" s="12">
        <v>26</v>
      </c>
      <c r="D58" s="8">
        <v>1.88</v>
      </c>
      <c r="E58" s="12">
        <v>4</v>
      </c>
      <c r="F58" s="8">
        <v>0.56000000000000005</v>
      </c>
      <c r="G58" s="12">
        <v>22</v>
      </c>
      <c r="H58" s="8">
        <v>3.32</v>
      </c>
      <c r="I58" s="12">
        <v>0</v>
      </c>
    </row>
    <row r="59" spans="2:9" ht="15" customHeight="1" x14ac:dyDescent="0.2">
      <c r="B59" t="s">
        <v>168</v>
      </c>
      <c r="C59" s="12">
        <v>26</v>
      </c>
      <c r="D59" s="8">
        <v>1.88</v>
      </c>
      <c r="E59" s="12">
        <v>26</v>
      </c>
      <c r="F59" s="8">
        <v>3.61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157</v>
      </c>
      <c r="C60" s="12">
        <v>25</v>
      </c>
      <c r="D60" s="8">
        <v>1.8</v>
      </c>
      <c r="E60" s="12">
        <v>20</v>
      </c>
      <c r="F60" s="8">
        <v>2.78</v>
      </c>
      <c r="G60" s="12">
        <v>5</v>
      </c>
      <c r="H60" s="8">
        <v>0.75</v>
      </c>
      <c r="I60" s="12">
        <v>0</v>
      </c>
    </row>
    <row r="61" spans="2:9" ht="15" customHeight="1" x14ac:dyDescent="0.2">
      <c r="B61" t="s">
        <v>183</v>
      </c>
      <c r="C61" s="12">
        <v>25</v>
      </c>
      <c r="D61" s="8">
        <v>1.8</v>
      </c>
      <c r="E61" s="12">
        <v>25</v>
      </c>
      <c r="F61" s="8">
        <v>3.47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174</v>
      </c>
      <c r="C62" s="12">
        <v>23</v>
      </c>
      <c r="D62" s="8">
        <v>1.66</v>
      </c>
      <c r="E62" s="12">
        <v>6</v>
      </c>
      <c r="F62" s="8">
        <v>0.83</v>
      </c>
      <c r="G62" s="12">
        <v>17</v>
      </c>
      <c r="H62" s="8">
        <v>2.56</v>
      </c>
      <c r="I62" s="12">
        <v>0</v>
      </c>
    </row>
    <row r="63" spans="2:9" ht="15" customHeight="1" x14ac:dyDescent="0.2">
      <c r="B63" t="s">
        <v>170</v>
      </c>
      <c r="C63" s="12">
        <v>23</v>
      </c>
      <c r="D63" s="8">
        <v>1.66</v>
      </c>
      <c r="E63" s="12">
        <v>21</v>
      </c>
      <c r="F63" s="8">
        <v>2.92</v>
      </c>
      <c r="G63" s="12">
        <v>2</v>
      </c>
      <c r="H63" s="8">
        <v>0.3</v>
      </c>
      <c r="I63" s="12">
        <v>0</v>
      </c>
    </row>
    <row r="64" spans="2:9" ht="15" customHeight="1" x14ac:dyDescent="0.2">
      <c r="B64" t="s">
        <v>153</v>
      </c>
      <c r="C64" s="12">
        <v>21</v>
      </c>
      <c r="D64" s="8">
        <v>1.52</v>
      </c>
      <c r="E64" s="12">
        <v>2</v>
      </c>
      <c r="F64" s="8">
        <v>0.28000000000000003</v>
      </c>
      <c r="G64" s="12">
        <v>19</v>
      </c>
      <c r="H64" s="8">
        <v>2.87</v>
      </c>
      <c r="I64" s="12">
        <v>0</v>
      </c>
    </row>
    <row r="65" spans="2:9" ht="15" customHeight="1" x14ac:dyDescent="0.2">
      <c r="B65" t="s">
        <v>159</v>
      </c>
      <c r="C65" s="12">
        <v>21</v>
      </c>
      <c r="D65" s="8">
        <v>1.52</v>
      </c>
      <c r="E65" s="12">
        <v>6</v>
      </c>
      <c r="F65" s="8">
        <v>0.83</v>
      </c>
      <c r="G65" s="12">
        <v>15</v>
      </c>
      <c r="H65" s="8">
        <v>2.2599999999999998</v>
      </c>
      <c r="I65" s="12">
        <v>0</v>
      </c>
    </row>
    <row r="66" spans="2:9" ht="15" customHeight="1" x14ac:dyDescent="0.2">
      <c r="B66" t="s">
        <v>173</v>
      </c>
      <c r="C66" s="12">
        <v>19</v>
      </c>
      <c r="D66" s="8">
        <v>1.37</v>
      </c>
      <c r="E66" s="12">
        <v>2</v>
      </c>
      <c r="F66" s="8">
        <v>0.28000000000000003</v>
      </c>
      <c r="G66" s="12">
        <v>16</v>
      </c>
      <c r="H66" s="8">
        <v>2.41</v>
      </c>
      <c r="I66" s="12">
        <v>1</v>
      </c>
    </row>
    <row r="67" spans="2:9" ht="15" customHeight="1" x14ac:dyDescent="0.2">
      <c r="B67" t="s">
        <v>182</v>
      </c>
      <c r="C67" s="12">
        <v>16</v>
      </c>
      <c r="D67" s="8">
        <v>1.1499999999999999</v>
      </c>
      <c r="E67" s="12">
        <v>10</v>
      </c>
      <c r="F67" s="8">
        <v>1.39</v>
      </c>
      <c r="G67" s="12">
        <v>6</v>
      </c>
      <c r="H67" s="8">
        <v>0.9</v>
      </c>
      <c r="I67" s="12">
        <v>0</v>
      </c>
    </row>
    <row r="68" spans="2:9" ht="15" customHeight="1" x14ac:dyDescent="0.2">
      <c r="B68" t="s">
        <v>181</v>
      </c>
      <c r="C68" s="12">
        <v>15</v>
      </c>
      <c r="D68" s="8">
        <v>1.08</v>
      </c>
      <c r="E68" s="12">
        <v>13</v>
      </c>
      <c r="F68" s="8">
        <v>1.81</v>
      </c>
      <c r="G68" s="12">
        <v>2</v>
      </c>
      <c r="H68" s="8">
        <v>0.3</v>
      </c>
      <c r="I68" s="12">
        <v>0</v>
      </c>
    </row>
    <row r="70" spans="2:9" ht="15" customHeight="1" x14ac:dyDescent="0.2">
      <c r="B70" t="s">
        <v>274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79</vt:i4>
      </vt:variant>
      <vt:variant>
        <vt:lpstr>名前付き一覧</vt:lpstr>
      </vt:variant>
      <vt:variant>
        <vt:i4>3</vt:i4>
      </vt:variant>
    </vt:vector>
  </HeadingPairs>
  <TitlesOfParts>
    <vt:vector size="82" baseType="lpstr">
      <vt:lpstr>目次</vt:lpstr>
      <vt:lpstr>産業大分類</vt:lpstr>
      <vt:lpstr>産業中分類</vt:lpstr>
      <vt:lpstr>産業小分類</vt:lpstr>
      <vt:lpstr>大阪府</vt:lpstr>
      <vt:lpstr>大阪市</vt:lpstr>
      <vt:lpstr>大阪市都島区</vt:lpstr>
      <vt:lpstr>大阪市福島区</vt:lpstr>
      <vt:lpstr>大阪市此花区</vt:lpstr>
      <vt:lpstr>大阪市西区</vt:lpstr>
      <vt:lpstr>大阪市港区</vt:lpstr>
      <vt:lpstr>大阪市大正区</vt:lpstr>
      <vt:lpstr>大阪市天王寺区</vt:lpstr>
      <vt:lpstr>大阪市浪速区</vt:lpstr>
      <vt:lpstr>大阪市西淀川区</vt:lpstr>
      <vt:lpstr>大阪市東淀川区</vt:lpstr>
      <vt:lpstr>大阪市東成区</vt:lpstr>
      <vt:lpstr>大阪市生野区</vt:lpstr>
      <vt:lpstr>大阪市旭区</vt:lpstr>
      <vt:lpstr>大阪市城東区</vt:lpstr>
      <vt:lpstr>大阪市阿倍野区</vt:lpstr>
      <vt:lpstr>大阪市住吉区</vt:lpstr>
      <vt:lpstr>大阪市東住吉区</vt:lpstr>
      <vt:lpstr>大阪市西成区</vt:lpstr>
      <vt:lpstr>大阪市淀川区</vt:lpstr>
      <vt:lpstr>大阪市鶴見区</vt:lpstr>
      <vt:lpstr>大阪市住之江区</vt:lpstr>
      <vt:lpstr>大阪市平野区</vt:lpstr>
      <vt:lpstr>大阪市北区</vt:lpstr>
      <vt:lpstr>大阪市中央区</vt:lpstr>
      <vt:lpstr>堺市</vt:lpstr>
      <vt:lpstr>堺市堺区</vt:lpstr>
      <vt:lpstr>堺市中区</vt:lpstr>
      <vt:lpstr>堺市東区</vt:lpstr>
      <vt:lpstr>堺市西区</vt:lpstr>
      <vt:lpstr>堺市南区</vt:lpstr>
      <vt:lpstr>堺市北区</vt:lpstr>
      <vt:lpstr>堺市美原区</vt:lpstr>
      <vt:lpstr>岸和田市</vt:lpstr>
      <vt:lpstr>豊中市</vt:lpstr>
      <vt:lpstr>池田市</vt:lpstr>
      <vt:lpstr>吹田市</vt:lpstr>
      <vt:lpstr>泉大津市</vt:lpstr>
      <vt:lpstr>高槻市</vt:lpstr>
      <vt:lpstr>貝塚市</vt:lpstr>
      <vt:lpstr>守口市</vt:lpstr>
      <vt:lpstr>枚方市</vt:lpstr>
      <vt:lpstr>茨木市</vt:lpstr>
      <vt:lpstr>八尾市</vt:lpstr>
      <vt:lpstr>泉佐野市</vt:lpstr>
      <vt:lpstr>富田林市</vt:lpstr>
      <vt:lpstr>寝屋川市</vt:lpstr>
      <vt:lpstr>河内長野市</vt:lpstr>
      <vt:lpstr>松原市</vt:lpstr>
      <vt:lpstr>大東市</vt:lpstr>
      <vt:lpstr>和泉市</vt:lpstr>
      <vt:lpstr>箕面市</vt:lpstr>
      <vt:lpstr>柏原市</vt:lpstr>
      <vt:lpstr>羽曳野市</vt:lpstr>
      <vt:lpstr>門真市</vt:lpstr>
      <vt:lpstr>摂津市</vt:lpstr>
      <vt:lpstr>高石市</vt:lpstr>
      <vt:lpstr>藤井寺市</vt:lpstr>
      <vt:lpstr>東大阪市</vt:lpstr>
      <vt:lpstr>泉南市</vt:lpstr>
      <vt:lpstr>四條畷市</vt:lpstr>
      <vt:lpstr>交野市</vt:lpstr>
      <vt:lpstr>大阪狭山市</vt:lpstr>
      <vt:lpstr>阪南市</vt:lpstr>
      <vt:lpstr>三島郡島本町</vt:lpstr>
      <vt:lpstr>豊能郡豊能町</vt:lpstr>
      <vt:lpstr>豊能郡能勢町</vt:lpstr>
      <vt:lpstr>泉北郡忠岡町</vt:lpstr>
      <vt:lpstr>泉南郡熊取町</vt:lpstr>
      <vt:lpstr>泉南郡田尻町</vt:lpstr>
      <vt:lpstr>泉南郡岬町</vt:lpstr>
      <vt:lpstr>南河内郡太子町</vt:lpstr>
      <vt:lpstr>南河内郡河南町</vt:lpstr>
      <vt:lpstr>南河内郡千早赤阪村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2023-08-17T02:22:39Z</dcterms:created>
  <dcterms:modified xsi:type="dcterms:W3CDTF">2023-08-17T02:22:39Z</dcterms:modified>
</cp:coreProperties>
</file>